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I:\Development &amp; Planning\Development Control\Ecology\Nutrient Neutrality\Mitigation Solutions Report &amp; Calculator\"/>
    </mc:Choice>
  </mc:AlternateContent>
  <xr:revisionPtr revIDLastSave="0" documentId="13_ncr:1_{D5879406-1418-46DD-9774-2EFA616C87DE}" xr6:coauthVersionLast="47" xr6:coauthVersionMax="47" xr10:uidLastSave="{00000000-0000-0000-0000-000000000000}"/>
  <workbookProtection workbookAlgorithmName="SHA-512" workbookHashValue="vX1Xt0A5EspjaKuOddwLef7abj0KgFj/TzZ8o/Ws+lZ0twUKV9lKNS1vN+y7qSTPsxqx1/vWbp1qTsgdnjwX1w==" workbookSaltValue="URu2Yi1KogrP4dkliwaUBA==" workbookSpinCount="100000" lockStructure="1"/>
  <bookViews>
    <workbookView xWindow="-110" yWindow="-110" windowWidth="19420" windowHeight="10420" firstSheet="1" activeTab="3" xr2:uid="{BE6BC844-1511-4CC1-AB95-7E453621EEBF}"/>
  </bookViews>
  <sheets>
    <sheet name="Introduction" sheetId="8" r:id="rId1"/>
    <sheet name="Lambourn Catchment" sheetId="29" r:id="rId2"/>
    <sheet name="Info" sheetId="3" r:id="rId3"/>
    <sheet name="Stage 1" sheetId="1" r:id="rId4"/>
    <sheet name="Stage 2" sheetId="4" r:id="rId5"/>
    <sheet name="Stage 3" sheetId="5" r:id="rId6"/>
    <sheet name="Stage 4" sheetId="6" r:id="rId7"/>
    <sheet name="Data Tables" sheetId="2" state="hidden" r:id="rId8"/>
    <sheet name="Mitigation - current" sheetId="7" r:id="rId9"/>
    <sheet name="Graph Calculations" sheetId="19" state="hidden" r:id="rId10"/>
    <sheet name="Mitigation - post 2025" sheetId="35" r:id="rId11"/>
    <sheet name="Mitigation - post 2030" sheetId="36" r:id="rId12"/>
    <sheet name="Mitigation land use comparison" sheetId="14" r:id="rId13"/>
    <sheet name="Rainfall" sheetId="33" r:id="rId14"/>
    <sheet name="Zero value Calc" sheetId="18" r:id="rId15"/>
    <sheet name="_SSC" sheetId="17" state="veryHidden" r:id="rId16"/>
    <sheet name="_Options" sheetId="32" state="veryHidden" r:id="rId17"/>
  </sheets>
  <externalReferences>
    <externalReference r:id="rId18"/>
  </externalReferences>
  <definedNames>
    <definedName name="_Ctrl_1" hidden="1">Introduction!#REF!</definedName>
    <definedName name="_Ctrl_2" hidden="1">Introduction!$C$101</definedName>
    <definedName name="_Ctrl_3" hidden="1">Introduction!$C$103</definedName>
    <definedName name="_Ctrl_4" hidden="1">Introduction!$C$36</definedName>
    <definedName name="_Ctrl_5" hidden="1">Info!$C$13</definedName>
    <definedName name="_Ctrl_6" hidden="1">Info!$E$8</definedName>
    <definedName name="_Ctrl_65" localSheetId="1" hidden="1">'[1]Zero value Calc'!#REF!</definedName>
    <definedName name="_Ctrl_65" hidden="1">'Zero value Calc'!#REF!</definedName>
    <definedName name="_Ctrl_66" hidden="1">'Stage 1'!$K$44</definedName>
    <definedName name="_Ctrl_7" hidden="1">Info!$E$6</definedName>
    <definedName name="_ctrl_ram_63" localSheetId="9" hidden="1">'Graph Calculations'!#REF!</definedName>
    <definedName name="_ctrl_ram_63" hidden="1">'Zero value Calc'!$K$15</definedName>
    <definedName name="_dep_ram_63" localSheetId="9" hidden="1">'Graph Calculations'!$E$5:$AB$14</definedName>
    <definedName name="_dep_ram_63" localSheetId="1" hidden="1">'[1]Zero value Calc'!#REF!</definedName>
    <definedName name="_dep_ram_63" hidden="1">'Zero value Calc'!#REF!</definedName>
    <definedName name="_options1">_Options!$A$1:$A$10</definedName>
    <definedName name="_options10">_Options!$J$1:$J$10</definedName>
    <definedName name="_options11">_Options!$K$1:$K$10</definedName>
    <definedName name="_options12">_Options!$L$1:$L$10</definedName>
    <definedName name="_options13">_Options!$M$1:$M$10</definedName>
    <definedName name="_options14">_Options!$N$1:$N$10</definedName>
    <definedName name="_options15">_Options!$O$1:$O$10</definedName>
    <definedName name="_options16">_Options!$P$1:$P$10</definedName>
    <definedName name="_options17">_Options!$Q$1:$Q$10</definedName>
    <definedName name="_options18">_Options!$R$1:$R$10</definedName>
    <definedName name="_options19">_Options!$S$1:$S$10</definedName>
    <definedName name="_options2">_Options!$B$1:$B$10</definedName>
    <definedName name="_options20">_Options!$T$1:$T$10</definedName>
    <definedName name="_options21">_Options!$U$1:$U$10</definedName>
    <definedName name="_options3">_Options!$C$1:$C$10</definedName>
    <definedName name="_options4">_Options!$D$1:$D$10</definedName>
    <definedName name="_options5">_Options!$E$1:$E$10</definedName>
    <definedName name="_options6">_Options!$F$1:$F$10</definedName>
    <definedName name="_options7">_Options!$G$1:$G$10</definedName>
    <definedName name="_options8">_Options!$H$1:$H$10</definedName>
    <definedName name="_options9">_Options!$I$1:$I$10</definedName>
    <definedName name="No" localSheetId="9">'Graph Calculations'!#REF!</definedName>
    <definedName name="No" localSheetId="1">'[1]Stage 4'!#REF!</definedName>
    <definedName name="No" localSheetId="14">'Zero value Calc'!#REF!</definedName>
    <definedName name="No">'Stage 4'!#REF!</definedName>
    <definedName name="OsTWs" localSheetId="10">Table3[Treatment type]</definedName>
    <definedName name="OsTWs" localSheetId="11">Table3[Treatment type]</definedName>
    <definedName name="OsTWs">Table3[Treatment type]</definedName>
    <definedName name="permit" localSheetId="1">'[1]Data Tables'!$B$5:$F$14</definedName>
    <definedName name="permit">'Data Tables'!$B$5:$D$11</definedName>
    <definedName name="permits" localSheetId="1">'[1]Data Tables'!$B$5:$I$14</definedName>
    <definedName name="permits">'Data Tables'!$B$5:$F$11</definedName>
    <definedName name="permits2030" localSheetId="10">Table1[]</definedName>
    <definedName name="permits2030" localSheetId="11">Table1[]</definedName>
    <definedName name="permits2030">Table1[]</definedName>
    <definedName name="_xlnm.Print_Area" localSheetId="7">'Data Tables'!$B$2:$Q$26</definedName>
    <definedName name="_xlnm.Print_Area" localSheetId="9">'Graph Calculations'!$B$2:$C$41</definedName>
    <definedName name="_xlnm.Print_Area" localSheetId="2">Info!$B$3:$N$17</definedName>
    <definedName name="_xlnm.Print_Area" localSheetId="0">Introduction!$B$2:$Q$136</definedName>
    <definedName name="_xlnm.Print_Area" localSheetId="8">'Mitigation - current'!$B$2:$Z$87</definedName>
    <definedName name="_xlnm.Print_Area" localSheetId="10">'Mitigation - post 2025'!$B$2:$Z$87</definedName>
    <definedName name="_xlnm.Print_Area" localSheetId="11">'Mitigation - post 2030'!$B$2:$Z$87</definedName>
    <definedName name="_xlnm.Print_Area" localSheetId="12">'Mitigation land use comparison'!$B$2:$S$17</definedName>
    <definedName name="_xlnm.Print_Area" localSheetId="3">'Stage 1'!$C$2:$AJ$60</definedName>
    <definedName name="_xlnm.Print_Area" localSheetId="4">'Stage 2'!$B$2:$R$43</definedName>
    <definedName name="_xlnm.Print_Area" localSheetId="5">'Stage 3'!$B$2:$N$37</definedName>
    <definedName name="_xlnm.Print_Area" localSheetId="6">'Stage 4'!$B$2:$U$48</definedName>
    <definedName name="_xlnm.Print_Area" localSheetId="14">'Zero value Calc'!$B$2:$C$44</definedName>
    <definedName name="_xlnm.Print_Titles" localSheetId="7">'Data Tables'!$2:$4</definedName>
    <definedName name="Taunton" localSheetId="1">'[1]Data Tables'!#REF!</definedName>
    <definedName name="Taunton">'Data Tables'!#REF!</definedName>
    <definedName name="Unknown" localSheetId="1">'[1]Data Tables'!#REF!</definedName>
    <definedName name="Unknown">'Data Tables'!#REF!</definedName>
    <definedName name="w">'Data Tables'!$B$12:$B$26</definedName>
    <definedName name="Wastewater" localSheetId="1">'[1]Data Tables'!$B$5:$B$14</definedName>
    <definedName name="Wastewater">'Data Tables'!$B$5:$B$11</definedName>
    <definedName name="WwTW">'Data Tables'!$B$12:$B$26</definedName>
    <definedName name="WwTWs">'Stage 1'!$E$34</definedName>
    <definedName name="Yes" localSheetId="9">'Graph Calculations'!#REF!</definedName>
    <definedName name="Yes" localSheetId="1">'[1]Stage 4'!#REF!</definedName>
    <definedName name="Yes" localSheetId="14">'Zero value Calc'!$I$26</definedName>
    <definedName name="Yes">'Stage 4'!#REF!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 i="14" l="1"/>
  <c r="M9" i="14"/>
  <c r="M10" i="14"/>
  <c r="M11" i="14"/>
  <c r="M12" i="14"/>
  <c r="M7" i="14"/>
  <c r="L85" i="36"/>
  <c r="P70" i="36"/>
  <c r="P69" i="36"/>
  <c r="P68" i="36"/>
  <c r="P67" i="36"/>
  <c r="P66" i="36"/>
  <c r="P65" i="36"/>
  <c r="X44" i="36"/>
  <c r="L44" i="36"/>
  <c r="Y42" i="36"/>
  <c r="L42" i="36"/>
  <c r="E42" i="36"/>
  <c r="S42" i="36" s="1"/>
  <c r="Y41" i="36"/>
  <c r="S41" i="36"/>
  <c r="L41" i="36"/>
  <c r="E41" i="36"/>
  <c r="Y40" i="36"/>
  <c r="L40" i="36"/>
  <c r="E40" i="36"/>
  <c r="S40" i="36" s="1"/>
  <c r="Y39" i="36"/>
  <c r="S39" i="36"/>
  <c r="L39" i="36"/>
  <c r="E39" i="36"/>
  <c r="Y38" i="36"/>
  <c r="L38" i="36"/>
  <c r="E38" i="36"/>
  <c r="S38" i="36" s="1"/>
  <c r="Y37" i="36"/>
  <c r="S37" i="36"/>
  <c r="L37" i="36"/>
  <c r="E37" i="36"/>
  <c r="Y36" i="36"/>
  <c r="L36" i="36"/>
  <c r="E36" i="36"/>
  <c r="S36" i="36" s="1"/>
  <c r="Y35" i="36"/>
  <c r="S35" i="36"/>
  <c r="L35" i="36"/>
  <c r="E35" i="36"/>
  <c r="Y34" i="36"/>
  <c r="L34" i="36"/>
  <c r="E34" i="36"/>
  <c r="S34" i="36" s="1"/>
  <c r="Y33" i="36"/>
  <c r="S33" i="36"/>
  <c r="L33" i="36"/>
  <c r="E33" i="36"/>
  <c r="Y32" i="36"/>
  <c r="E32" i="36"/>
  <c r="S32" i="36" s="1"/>
  <c r="Y31" i="36"/>
  <c r="S31" i="36"/>
  <c r="E31" i="36"/>
  <c r="Y30" i="36"/>
  <c r="L30" i="36"/>
  <c r="E30" i="36"/>
  <c r="S30" i="36" s="1"/>
  <c r="Y29" i="36"/>
  <c r="S29" i="36"/>
  <c r="L29" i="36"/>
  <c r="E29" i="36"/>
  <c r="Y28" i="36"/>
  <c r="E28" i="36"/>
  <c r="S28" i="36" s="1"/>
  <c r="Y27" i="36"/>
  <c r="S27" i="36"/>
  <c r="L27" i="36"/>
  <c r="E27" i="36"/>
  <c r="Y26" i="36"/>
  <c r="L26" i="36"/>
  <c r="E26" i="36"/>
  <c r="S26" i="36" s="1"/>
  <c r="Y25" i="36"/>
  <c r="S25" i="36"/>
  <c r="L25" i="36"/>
  <c r="E25" i="36"/>
  <c r="L85" i="35"/>
  <c r="P69" i="35"/>
  <c r="P66" i="35"/>
  <c r="P65" i="35"/>
  <c r="L44" i="35"/>
  <c r="Y42" i="35"/>
  <c r="L42" i="35"/>
  <c r="E42" i="35"/>
  <c r="S42" i="35" s="1"/>
  <c r="Y41" i="35"/>
  <c r="S41" i="35"/>
  <c r="L41" i="35"/>
  <c r="E41" i="35"/>
  <c r="Y40" i="35"/>
  <c r="L40" i="35"/>
  <c r="E40" i="35"/>
  <c r="S40" i="35" s="1"/>
  <c r="Y39" i="35"/>
  <c r="S39" i="35"/>
  <c r="L39" i="35"/>
  <c r="E39" i="35"/>
  <c r="Y38" i="35"/>
  <c r="L38" i="35"/>
  <c r="E38" i="35"/>
  <c r="S38" i="35" s="1"/>
  <c r="Y37" i="35"/>
  <c r="S37" i="35"/>
  <c r="L37" i="35"/>
  <c r="E37" i="35"/>
  <c r="Y36" i="35"/>
  <c r="L36" i="35"/>
  <c r="E36" i="35"/>
  <c r="S36" i="35" s="1"/>
  <c r="Y35" i="35"/>
  <c r="S35" i="35"/>
  <c r="L35" i="35"/>
  <c r="E35" i="35"/>
  <c r="Y34" i="35"/>
  <c r="L34" i="35"/>
  <c r="E34" i="35"/>
  <c r="S34" i="35" s="1"/>
  <c r="Y33" i="35"/>
  <c r="S33" i="35"/>
  <c r="L33" i="35"/>
  <c r="E33" i="35"/>
  <c r="Y32" i="35"/>
  <c r="E32" i="35"/>
  <c r="S32" i="35" s="1"/>
  <c r="Y31" i="35"/>
  <c r="S31" i="35"/>
  <c r="E31" i="35"/>
  <c r="Y30" i="35"/>
  <c r="L30" i="35"/>
  <c r="E30" i="35"/>
  <c r="S30" i="35" s="1"/>
  <c r="Y29" i="35"/>
  <c r="S29" i="35"/>
  <c r="L29" i="35"/>
  <c r="E29" i="35"/>
  <c r="Y28" i="35"/>
  <c r="E28" i="35"/>
  <c r="S28" i="35" s="1"/>
  <c r="Y27" i="35"/>
  <c r="S27" i="35"/>
  <c r="L27" i="35"/>
  <c r="E27" i="35"/>
  <c r="Y26" i="35"/>
  <c r="L26" i="35"/>
  <c r="E26" i="35"/>
  <c r="S26" i="35" s="1"/>
  <c r="Y25" i="35"/>
  <c r="S25" i="35"/>
  <c r="L25" i="35"/>
  <c r="E25" i="35"/>
  <c r="Y30" i="7"/>
  <c r="Y29" i="7"/>
  <c r="Y28" i="7"/>
  <c r="Y27" i="7"/>
  <c r="Y26" i="7"/>
  <c r="Y25" i="7"/>
  <c r="X44" i="35" l="1"/>
  <c r="P47" i="35" s="1"/>
  <c r="P72" i="36"/>
  <c r="P47" i="36"/>
  <c r="P80" i="36" s="1"/>
  <c r="Y31" i="7"/>
  <c r="Y32" i="7"/>
  <c r="Y33" i="7"/>
  <c r="Y34" i="7"/>
  <c r="Y35" i="7"/>
  <c r="Y36" i="7"/>
  <c r="Y37" i="7"/>
  <c r="Y38" i="7"/>
  <c r="K35" i="5"/>
  <c r="O24" i="4"/>
  <c r="L31" i="7" s="1"/>
  <c r="O25" i="4"/>
  <c r="O26" i="4"/>
  <c r="O27" i="4"/>
  <c r="O28" i="4"/>
  <c r="O29" i="4"/>
  <c r="O30" i="4"/>
  <c r="O31" i="4"/>
  <c r="L38" i="7" s="1"/>
  <c r="O23" i="4"/>
  <c r="L25" i="7" s="1"/>
  <c r="O22" i="4"/>
  <c r="O21" i="4"/>
  <c r="O20" i="4"/>
  <c r="O19" i="4"/>
  <c r="O18" i="4"/>
  <c r="AE4" i="2"/>
  <c r="AD8" i="2"/>
  <c r="AE8" i="2" s="1"/>
  <c r="AD7" i="2"/>
  <c r="AD6" i="2"/>
  <c r="AD5" i="2"/>
  <c r="AD4" i="2"/>
  <c r="AF8" i="2"/>
  <c r="AG8" i="2"/>
  <c r="AH8" i="2"/>
  <c r="AI8" i="2"/>
  <c r="AE9" i="2"/>
  <c r="AF9" i="2"/>
  <c r="AG9" i="2"/>
  <c r="AH9" i="2"/>
  <c r="AI9" i="2"/>
  <c r="AE10" i="2"/>
  <c r="AF10" i="2"/>
  <c r="AG10" i="2"/>
  <c r="AH10" i="2"/>
  <c r="AI10" i="2"/>
  <c r="AE11" i="2"/>
  <c r="AF11" i="2"/>
  <c r="AG11" i="2"/>
  <c r="AH11" i="2"/>
  <c r="AI11" i="2"/>
  <c r="P70" i="35" l="1"/>
  <c r="P68" i="35"/>
  <c r="L31" i="36"/>
  <c r="L31" i="35"/>
  <c r="L28" i="36"/>
  <c r="L28" i="35"/>
  <c r="P83" i="35"/>
  <c r="P67" i="35"/>
  <c r="P79" i="36"/>
  <c r="P81" i="36"/>
  <c r="L32" i="36"/>
  <c r="L32" i="35"/>
  <c r="P79" i="35"/>
  <c r="P80" i="35"/>
  <c r="P81" i="35"/>
  <c r="P78" i="35"/>
  <c r="P82" i="36"/>
  <c r="P83" i="36"/>
  <c r="P78" i="36"/>
  <c r="P82" i="35"/>
  <c r="Y39" i="7"/>
  <c r="P72" i="35" l="1"/>
  <c r="O32" i="4"/>
  <c r="K37" i="4"/>
  <c r="AI5" i="2"/>
  <c r="AI6" i="2"/>
  <c r="AI7" i="2"/>
  <c r="AI4" i="2"/>
  <c r="K46" i="1" l="1"/>
  <c r="L46" i="1" s="1"/>
  <c r="AE46" i="1" l="1"/>
  <c r="M28" i="6" l="1"/>
  <c r="M46" i="1"/>
  <c r="F18" i="4"/>
  <c r="W22" i="1"/>
  <c r="W29" i="1" s="1"/>
  <c r="K53" i="1" l="1"/>
  <c r="M12" i="6"/>
  <c r="AE53" i="1"/>
  <c r="S11" i="6"/>
  <c r="V59" i="1" l="1"/>
  <c r="L32" i="7"/>
  <c r="L34" i="7" l="1"/>
  <c r="L36" i="7"/>
  <c r="L37" i="7"/>
  <c r="L35" i="7"/>
  <c r="L33" i="7"/>
  <c r="L30" i="7"/>
  <c r="D42" i="6" l="1"/>
  <c r="AC14" i="2" l="1"/>
  <c r="F22" i="4"/>
  <c r="F21" i="4"/>
  <c r="F20" i="4"/>
  <c r="F19" i="4"/>
  <c r="AC17" i="2"/>
  <c r="AC16" i="2"/>
  <c r="AC15" i="2"/>
  <c r="AG7" i="2" l="1"/>
  <c r="AG5" i="2"/>
  <c r="AG6" i="2"/>
  <c r="AH6" i="2"/>
  <c r="AH7" i="2"/>
  <c r="AH4" i="2"/>
  <c r="AH5" i="2"/>
  <c r="AF4" i="2"/>
  <c r="AF6" i="2"/>
  <c r="AF5" i="2"/>
  <c r="AF7" i="2"/>
  <c r="AE5" i="2"/>
  <c r="AE7" i="2"/>
  <c r="AE6" i="2"/>
  <c r="AG4" i="2"/>
  <c r="L28" i="7" l="1"/>
  <c r="L27" i="7"/>
  <c r="L26" i="7"/>
  <c r="L29" i="7" l="1"/>
  <c r="L44" i="7" s="1"/>
  <c r="L40" i="7" l="1"/>
  <c r="L41" i="7"/>
  <c r="L39" i="7"/>
  <c r="L42" i="7"/>
  <c r="L85" i="7"/>
  <c r="Y40" i="7"/>
  <c r="Y41" i="7"/>
  <c r="Y42" i="7"/>
  <c r="E30" i="7"/>
  <c r="S30" i="7" s="1"/>
  <c r="E31" i="7"/>
  <c r="S31" i="7" s="1"/>
  <c r="E32" i="7"/>
  <c r="S32" i="7" s="1"/>
  <c r="E33" i="7"/>
  <c r="S33" i="7" s="1"/>
  <c r="E34" i="7"/>
  <c r="S34" i="7" s="1"/>
  <c r="E35" i="7"/>
  <c r="S35" i="7" s="1"/>
  <c r="E36" i="7"/>
  <c r="S36" i="7" s="1"/>
  <c r="E37" i="7"/>
  <c r="S37" i="7" s="1"/>
  <c r="E39" i="7"/>
  <c r="S39" i="7" s="1"/>
  <c r="E40" i="7"/>
  <c r="S40" i="7" s="1"/>
  <c r="E41" i="7"/>
  <c r="S41" i="7" s="1"/>
  <c r="E42" i="7"/>
  <c r="S42" i="7" s="1"/>
  <c r="X44" i="7" l="1"/>
  <c r="K15" i="18"/>
  <c r="S10" i="6" l="1"/>
  <c r="R10" i="6"/>
  <c r="S9" i="6"/>
  <c r="K29" i="5"/>
  <c r="F8" i="19" l="1"/>
  <c r="S18" i="6"/>
  <c r="K24" i="18"/>
  <c r="O33" i="4"/>
  <c r="O34" i="4"/>
  <c r="O35" i="4"/>
  <c r="F31" i="4"/>
  <c r="O37" i="4" l="1"/>
  <c r="K42" i="4" s="1"/>
  <c r="L20" i="7" s="1"/>
  <c r="E29" i="7"/>
  <c r="S29" i="7" s="1"/>
  <c r="E28" i="7"/>
  <c r="S28" i="7" s="1"/>
  <c r="E27" i="7"/>
  <c r="S27" i="7" s="1"/>
  <c r="E38" i="7"/>
  <c r="S38" i="7" s="1"/>
  <c r="E25" i="7"/>
  <c r="S25" i="7" s="1"/>
  <c r="E26" i="7"/>
  <c r="S26" i="7" s="1"/>
  <c r="L20" i="36" l="1"/>
  <c r="L20" i="35"/>
  <c r="K18" i="6"/>
  <c r="O18" i="6"/>
  <c r="S16" i="6"/>
  <c r="K19" i="18"/>
  <c r="R12" i="6" l="1"/>
  <c r="M8" i="6"/>
  <c r="M16" i="6"/>
  <c r="M10" i="6"/>
  <c r="M35" i="6"/>
  <c r="M26" i="6"/>
  <c r="M21" i="6"/>
  <c r="M18" i="6"/>
  <c r="S12" i="6"/>
  <c r="W58" i="1"/>
  <c r="L45" i="1"/>
  <c r="W57" i="1" s="1"/>
  <c r="S13" i="6" l="1"/>
  <c r="M53" i="1"/>
  <c r="X59" i="1" s="1"/>
  <c r="M23" i="6"/>
  <c r="M29" i="6" s="1"/>
  <c r="M37" i="6" s="1"/>
  <c r="L10" i="35" s="1"/>
  <c r="L53" i="1"/>
  <c r="W59" i="1" s="1"/>
  <c r="L8" i="19"/>
  <c r="D43" i="6" l="1"/>
  <c r="O12" i="6"/>
  <c r="O23" i="6" s="1"/>
  <c r="L52" i="1"/>
  <c r="K12" i="6"/>
  <c r="K23" i="6" s="1"/>
  <c r="O29" i="6" l="1"/>
  <c r="O37" i="6" s="1"/>
  <c r="L10" i="36" s="1"/>
  <c r="L56" i="35"/>
  <c r="L53" i="35"/>
  <c r="L72" i="35"/>
  <c r="L55" i="35"/>
  <c r="L54" i="35"/>
  <c r="L52" i="35"/>
  <c r="L57" i="35"/>
  <c r="P85" i="35"/>
  <c r="K23" i="18"/>
  <c r="D46" i="6" l="1"/>
  <c r="K29" i="6"/>
  <c r="L53" i="36" l="1"/>
  <c r="L57" i="36"/>
  <c r="L52" i="36"/>
  <c r="L55" i="36"/>
  <c r="L72" i="36"/>
  <c r="L54" i="36"/>
  <c r="L56" i="36"/>
  <c r="P85" i="36"/>
  <c r="P47" i="7"/>
  <c r="K16" i="18"/>
  <c r="F12" i="19" s="1"/>
  <c r="Z8" i="19"/>
  <c r="P66" i="7" l="1"/>
  <c r="P69" i="7"/>
  <c r="P65" i="7"/>
  <c r="K7" i="14" s="1"/>
  <c r="P70" i="7"/>
  <c r="P67" i="7"/>
  <c r="F9" i="19"/>
  <c r="W8" i="19"/>
  <c r="O8" i="19"/>
  <c r="G8" i="19"/>
  <c r="V8" i="19"/>
  <c r="N8" i="19"/>
  <c r="U8" i="19"/>
  <c r="T8" i="19"/>
  <c r="R8" i="19"/>
  <c r="Y8" i="19"/>
  <c r="I8" i="19"/>
  <c r="S8" i="19"/>
  <c r="K8" i="19"/>
  <c r="J8" i="19"/>
  <c r="Q8" i="19"/>
  <c r="M8" i="19"/>
  <c r="X8" i="19"/>
  <c r="P8" i="19"/>
  <c r="H8" i="19"/>
  <c r="P80" i="7" l="1"/>
  <c r="P83" i="7"/>
  <c r="P78" i="7"/>
  <c r="P82" i="7"/>
  <c r="P79" i="7"/>
  <c r="P81" i="7"/>
  <c r="K8" i="14"/>
  <c r="K11" i="14"/>
  <c r="K9" i="14"/>
  <c r="O9" i="14" s="1"/>
  <c r="L9" i="19" l="1"/>
  <c r="L10" i="19" s="1"/>
  <c r="L11" i="19" s="1"/>
  <c r="P12" i="19"/>
  <c r="P13" i="19" s="1"/>
  <c r="L12" i="19"/>
  <c r="L13" i="19" s="1"/>
  <c r="K12" i="14"/>
  <c r="O12" i="14" s="1"/>
  <c r="K10" i="14"/>
  <c r="O10" i="14" s="1"/>
  <c r="O7" i="14"/>
  <c r="O8" i="14"/>
  <c r="F10" i="19"/>
  <c r="F13" i="19"/>
  <c r="O12" i="19"/>
  <c r="O13" i="19" s="1"/>
  <c r="W12" i="19"/>
  <c r="W13" i="19" s="1"/>
  <c r="H9" i="19"/>
  <c r="H10" i="19" s="1"/>
  <c r="H11" i="19" s="1"/>
  <c r="P9" i="19"/>
  <c r="P10" i="19" s="1"/>
  <c r="P11" i="19" s="1"/>
  <c r="X9" i="19"/>
  <c r="X10" i="19" s="1"/>
  <c r="X11" i="19" s="1"/>
  <c r="Y9" i="19"/>
  <c r="Y10" i="19" s="1"/>
  <c r="Y11" i="19" s="1"/>
  <c r="J9" i="19"/>
  <c r="J10" i="19" s="1"/>
  <c r="J11" i="19" s="1"/>
  <c r="R12" i="19"/>
  <c r="R13" i="19" s="1"/>
  <c r="U9" i="19"/>
  <c r="U10" i="19" s="1"/>
  <c r="U11" i="19" s="1"/>
  <c r="N9" i="19"/>
  <c r="N10" i="19" s="1"/>
  <c r="N11" i="19" s="1"/>
  <c r="N12" i="19"/>
  <c r="N13" i="19" s="1"/>
  <c r="W9" i="19"/>
  <c r="W10" i="19" s="1"/>
  <c r="W11" i="19" s="1"/>
  <c r="H12" i="19"/>
  <c r="H13" i="19" s="1"/>
  <c r="X12" i="19"/>
  <c r="X13" i="19" s="1"/>
  <c r="I9" i="19"/>
  <c r="I10" i="19" s="1"/>
  <c r="I11" i="19" s="1"/>
  <c r="Q9" i="19"/>
  <c r="Q10" i="19" s="1"/>
  <c r="Q11" i="19" s="1"/>
  <c r="Z9" i="19"/>
  <c r="Z10" i="19" s="1"/>
  <c r="Z11" i="19" s="1"/>
  <c r="J12" i="19"/>
  <c r="J13" i="19" s="1"/>
  <c r="K9" i="19"/>
  <c r="K10" i="19" s="1"/>
  <c r="K11" i="19" s="1"/>
  <c r="G12" i="19"/>
  <c r="G13" i="19" s="1"/>
  <c r="U12" i="19"/>
  <c r="U13" i="19" s="1"/>
  <c r="V9" i="19"/>
  <c r="V10" i="19" s="1"/>
  <c r="V11" i="19" s="1"/>
  <c r="G9" i="19"/>
  <c r="G10" i="19" s="1"/>
  <c r="G11" i="19" s="1"/>
  <c r="I12" i="19"/>
  <c r="I13" i="19" s="1"/>
  <c r="Q12" i="19"/>
  <c r="Q13" i="19" s="1"/>
  <c r="Y12" i="19"/>
  <c r="Y13" i="19" s="1"/>
  <c r="R9" i="19"/>
  <c r="R10" i="19" s="1"/>
  <c r="R11" i="19" s="1"/>
  <c r="Z12" i="19"/>
  <c r="Z13" i="19" s="1"/>
  <c r="S9" i="19"/>
  <c r="S10" i="19" s="1"/>
  <c r="S11" i="19" s="1"/>
  <c r="T12" i="19"/>
  <c r="T13" i="19" s="1"/>
  <c r="M9" i="19"/>
  <c r="M10" i="19" s="1"/>
  <c r="M11" i="19" s="1"/>
  <c r="K12" i="19"/>
  <c r="K13" i="19" s="1"/>
  <c r="S12" i="19"/>
  <c r="S13" i="19" s="1"/>
  <c r="T9" i="19"/>
  <c r="T10" i="19" s="1"/>
  <c r="T11" i="19" s="1"/>
  <c r="O9" i="19"/>
  <c r="O10" i="19" s="1"/>
  <c r="O11" i="19" s="1"/>
  <c r="M12" i="19"/>
  <c r="M13" i="19" s="1"/>
  <c r="V12" i="19"/>
  <c r="V13" i="19" s="1"/>
  <c r="F11" i="19" l="1"/>
  <c r="F14" i="19" s="1"/>
  <c r="K14" i="14"/>
  <c r="Z14" i="19"/>
  <c r="H14" i="19"/>
  <c r="X14" i="19"/>
  <c r="R14" i="19"/>
  <c r="P14" i="19"/>
  <c r="T14" i="19"/>
  <c r="U14" i="19"/>
  <c r="N14" i="19"/>
  <c r="J14" i="19"/>
  <c r="K14" i="19"/>
  <c r="G14" i="19"/>
  <c r="Y14" i="19"/>
  <c r="I14" i="19"/>
  <c r="M14" i="19"/>
  <c r="S14" i="19"/>
  <c r="Q14" i="19"/>
  <c r="V14" i="19"/>
  <c r="W14" i="19"/>
  <c r="L14" i="19"/>
  <c r="O14" i="19"/>
  <c r="T15" i="18" l="1"/>
  <c r="AB5" i="19" s="1"/>
  <c r="G5" i="18" l="1"/>
  <c r="AB6" i="19"/>
  <c r="M14" i="14"/>
  <c r="AB7" i="19" l="1"/>
  <c r="AB9" i="19" s="1"/>
  <c r="AB12" i="19"/>
  <c r="O11" i="14"/>
  <c r="P72" i="7"/>
  <c r="AB13" i="19" l="1"/>
  <c r="T18" i="18"/>
  <c r="AB8" i="19"/>
  <c r="AB10" i="19" s="1"/>
  <c r="AB11" i="19" s="1"/>
  <c r="T16" i="18" s="1"/>
  <c r="O14" i="14"/>
  <c r="AB14" i="19" l="1"/>
  <c r="K37" i="6" l="1"/>
  <c r="D40" i="6" l="1"/>
  <c r="L10" i="7"/>
  <c r="L72" i="7" s="1"/>
  <c r="L56" i="7" l="1"/>
  <c r="P85" i="7"/>
  <c r="L57" i="7"/>
  <c r="L53" i="7"/>
  <c r="L54" i="7"/>
  <c r="L52" i="7"/>
</calcChain>
</file>

<file path=xl/sharedStrings.xml><?xml version="1.0" encoding="utf-8"?>
<sst xmlns="http://schemas.openxmlformats.org/spreadsheetml/2006/main" count="1355" uniqueCount="493">
  <si>
    <t>Lambourn Phosphate Budget Calculator V1.1</t>
  </si>
  <si>
    <t>Introduction</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</si>
  <si>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 (EU Exit) Regulations 2019. As such, Natural England's view is that any development proposal that adds phosphate into the catchment of internationally important sites, such as the River Lambourn SAC, is likely to have a significant effect. Proposed developments likely to affect European Sites should be subject to Habitats Regulations Assessment to assess the Likely Significant Effects on the SAC. Applications within the catchment will have a Likely Significant Effect and will require an Appropriate Assessment (i.e. the phosphate calculator) to assess the implications of the proposal on the designated site.</t>
  </si>
  <si>
    <t>This tool is designed to quantify the nutrient loading of an area of land subject to a change of land use and population, in order to identify if proposed developments will be 'nutrient neutral'. Where the proposed development will generate additional nutrients into the system, solutions in how to offset the excess nutrients and achieve neutrality are presented.</t>
  </si>
  <si>
    <t>This tool is only necessary for proposed developments that have the potential to increase nutrient loading to rivers that flow into the River Lambourn SAC. Developments that are located outside of the hydrological catchment but will connect to a Wastewater Treatment Works (WwTW) that drains to a river within the catchment should not complete Stages 2 and 3. Alternatively, where a site is located within the hydrological catchment but drains to a WwTWs outside of the catchment then  the development can be screened out of the appropriate assessment but the use of SuDs should still be considered on site.</t>
  </si>
  <si>
    <t>The methodology employed within this tool was, in part, guided by Natural England's advice on nutrient neutrality in relation to the Stodmarsh designated sites (published in November 2020) and the Natural England provided calculator (published March 2022).</t>
  </si>
  <si>
    <t>This tool consists of six 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t>
  </si>
  <si>
    <t>About</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</si>
  <si>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</si>
  <si>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The tool has been designed so that the user is able to update the data and methods in light of any new research or understanding</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</si>
  <si>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</si>
  <si>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</si>
  <si>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This nutrient budget calculator has been developed by Royal HaskoningDHV on behalf of West Berkshire Council.</t>
  </si>
  <si>
    <t>Nutrient budget calculator, v1.1 (Released December 2023)</t>
  </si>
  <si>
    <t>General help</t>
  </si>
  <si>
    <t xml:space="preserve">The Tool uses the following colour coding to indicate the functionality to the user. These colours are: </t>
  </si>
  <si>
    <t>This contains fixed or calculated values and the user does not need to input a value</t>
  </si>
  <si>
    <t>Stage 1</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</si>
  <si>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The user has the option to select whether sewage from the proposed development will be handled by Wastewater treatment works or by Package Treatment Plants (PTPs). The user must select one or the other, both options cannot be used. 
Step 2a: If the proposed development is to use </t>
    </r>
    <r>
      <rPr>
        <b/>
        <sz val="10.5"/>
        <color rgb="FF000000"/>
        <rFont val="Calibri"/>
        <family val="2"/>
        <scheme val="minor"/>
      </rPr>
      <t>Wastewater Treatment Works</t>
    </r>
    <r>
      <rPr>
        <sz val="10.5"/>
        <color rgb="FF000000"/>
        <rFont val="Calibri"/>
        <family val="2"/>
        <scheme val="minor"/>
      </rPr>
      <t xml:space="preserve"> (</t>
    </r>
    <r>
      <rPr>
        <b/>
        <sz val="10.5"/>
        <color rgb="FF000000"/>
        <rFont val="Calibri"/>
        <family val="2"/>
        <scheme val="minor"/>
      </rPr>
      <t>WwTW)</t>
    </r>
    <r>
      <rPr>
        <sz val="10.5"/>
        <color rgb="FF000000"/>
        <rFont val="Calibri"/>
        <family val="2"/>
        <scheme val="minor"/>
      </rPr>
      <t>, then the user should select 'Yes' from the drop down box. Following this, the user should select the WwTW that the development will connect to. This will select the discharge concentration from the chosen WwTW.
Step 2b: If the proposed development is to use</t>
    </r>
    <r>
      <rPr>
        <b/>
        <sz val="10.5"/>
        <color rgb="FF000000"/>
        <rFont val="Calibri"/>
        <family val="2"/>
        <scheme val="minor"/>
      </rPr>
      <t xml:space="preserve"> Onsite treatment plants</t>
    </r>
    <r>
      <rPr>
        <sz val="10.5"/>
        <color rgb="FF000000"/>
        <rFont val="Calibri"/>
        <family val="2"/>
        <scheme val="minor"/>
      </rPr>
      <t xml:space="preserve">, then the user should select 'Yes' from the drop down box. Following this, the user should input the final effluent quality of the onsite treatment plant. If the efficiency is unknown then the user should input a precautionary default value. Higher removal rates can be achieved through PTPs but these will typically require additional phosphorus reduction methods that standard PTPs may not include.   </t>
    </r>
  </si>
  <si>
    <t>Stage 2</t>
  </si>
  <si>
    <r>
      <t>This stage calculates the nutrient load from the current land use.
Step 2: The user should input the area (hectares) of the current land uses that make up the total area of the development site. A GIS viewer can be used to identify the land uses on a coarse scale (</t>
    </r>
    <r>
      <rPr>
        <b/>
        <sz val="10.5"/>
        <color theme="1"/>
        <rFont val="Calibri"/>
        <family val="2"/>
        <scheme val="minor"/>
      </rPr>
      <t>https://gridreferencefinder.com/</t>
    </r>
    <r>
      <rPr>
        <sz val="10.5"/>
        <color theme="1"/>
        <rFont val="Calibri"/>
        <family val="2"/>
        <scheme val="minor"/>
      </rPr>
      <t>). However, if more detail is known about the site land uses then this should be manually inputted by the user.</t>
    </r>
  </si>
  <si>
    <t>Stage 3</t>
  </si>
  <si>
    <t>This stage calculates the nutrient load from the current land use.
Step 2: The user should input the proposed land uses that make up the total area of the development site. Any pre-determined on-site mitigation should also be inputted here.
Bespoke banking coefficients should be inputted for constructed wetland that can be evidenced</t>
  </si>
  <si>
    <t>Stage 4</t>
  </si>
  <si>
    <t>Mitigation - current</t>
  </si>
  <si>
    <t>This stage calculates the area and land uses of the mitigation site required for the proposed development to be nutrient neutral, under current WwTW permit limits.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bespoke site-specific value will need to be calculated</t>
  </si>
  <si>
    <t>Mitigation - post 2025</t>
  </si>
  <si>
    <t>This stage calculates the area and land uses of the mitigation site required for the proposed development to be nutrient neutral, under post-2025 WwTW permit limits.
Step 4: The user has the option to select the amount of nutrient load to be offset by the various land uses, which will then calculate the relevant area of land (Hectares (Ha)) that needs to be changed.
Step 5: The user has the option to input the required area of land (Ha) to be mitigated until the project is nutrient neutral, which will then calculate the equivalent nutrient load for each land use.</t>
  </si>
  <si>
    <t>This stage calculates the area and land uses of the mitigation site required for the proposed development to be nutrient neutral, under post-2030 WwTW permit limits.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t>
  </si>
  <si>
    <t>Mitigation land use comparison</t>
  </si>
  <si>
    <t>This stage provides a summary in the differences in mitigation land use area between the current WwTW permit limits and the post-2025 WwTW permit limits</t>
  </si>
  <si>
    <t>Land Use Definitions</t>
  </si>
  <si>
    <t>The land uses presented in this tool followed the CORINE 2018 land use data. Definitions of key land uses are presented below:</t>
  </si>
  <si>
    <t>Land Use</t>
  </si>
  <si>
    <t>Description</t>
  </si>
  <si>
    <t>High density urban</t>
  </si>
  <si>
    <t xml:space="preserve">Areas of houses and associated infrastructure. This is inclusive of roads, driveways, grass verges and gardens. 
High density often applies to urban cores. High density residential developments will typically have greater than 50 units per hectare. </t>
  </si>
  <si>
    <t>Medium density urban</t>
  </si>
  <si>
    <t xml:space="preserve">Medium density residential would apply to larger towns whereby there is a high percentage of development but situated outside of core cities. Medium density residential developments will typically have between 25 -50 units per hectare. </t>
  </si>
  <si>
    <t>Low density urban</t>
  </si>
  <si>
    <t xml:space="preserve">Rural communities are classed under low density residential land. Low density residential developments will typically have less than 25 units per hectare. </t>
  </si>
  <si>
    <t>Commercial / industrial</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</si>
  <si>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</si>
  <si>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Urban open space</t>
  </si>
  <si>
    <t>Area of land in urban areas used for various purposes, e.g. leisure and recreation - may include open land, e.g. sports fields, playgrounds, public squares or built facilities such as sports centres.</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</si>
  <si>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</si>
  <si>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</si>
  <si>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Dairy</t>
  </si>
  <si>
    <t xml:space="preserve">Holdings on which dairy cows account for more than two thirds of their total standard output.  </t>
  </si>
  <si>
    <t>Cereals</t>
  </si>
  <si>
    <t>Agricultural areas on which cereals, combinable crops and set aside are farmed.</t>
  </si>
  <si>
    <t>Horticulture</t>
  </si>
  <si>
    <t>Holdings on which fruit (including vineyards), hardy nursery stock, glasshouse flowers and vegetables, market garden scale vegetables, outdoor bulbs and flowers and mushrooms account for more than two thirds of their total standard output.</t>
  </si>
  <si>
    <t>Pig Farming</t>
  </si>
  <si>
    <t xml:space="preserve">Holdings on which pigs account for more than two thirds of their total standard output. </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</si>
  <si>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</si>
  <si>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</si>
  <si>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Lowland grazing</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</si>
  <si>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</si>
  <si>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Mixed</t>
  </si>
  <si>
    <t>Holdings for which none of the other categories account for more than two thirds of total standard output.</t>
  </si>
  <si>
    <t>Poultry farming</t>
  </si>
  <si>
    <t xml:space="preserve">Holdings on which poultry account for more than two thirds of their total standard output. </t>
  </si>
  <si>
    <t>General Arable</t>
  </si>
  <si>
    <t>Agricultural areas on which arable crops (including field scale vegetables) are farmed.</t>
  </si>
  <si>
    <t>Greenspace</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</si>
  <si>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</si>
  <si>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Woodland</t>
  </si>
  <si>
    <t>Tree-covered areas which either arose naturally or as a result of plantations. This includes conifer woodland, mixed woodlands and broad-leaved woodlands etc.</t>
  </si>
  <si>
    <t>shrub / heathland / bracken / bog</t>
  </si>
  <si>
    <t>Land that contains extensive areas of either shrubs, heath or bracken. A bog refers to land that is a wetland area of muddy ground that can accumulate peat.</t>
  </si>
  <si>
    <t>Water</t>
  </si>
  <si>
    <t>Areas of surface water, including rivers, ponds and lakes.</t>
  </si>
  <si>
    <t>Meadow / semi natural grassland</t>
  </si>
  <si>
    <t>A meadow is a field habitat vegetated by grass and other non-woody plant that has an open character and is not grazed by livestock</t>
  </si>
  <si>
    <t>Wetland</t>
  </si>
  <si>
    <t>Land use specific to constructed wetland only and does not include ponds or SuDS.</t>
  </si>
  <si>
    <t>Wastewater Permit Limits</t>
  </si>
  <si>
    <t>Current WwTW permit limits Vs post-2030 permit limits</t>
  </si>
  <si>
    <t>Wastewater Treatment Works</t>
  </si>
  <si>
    <t>Current TP permit limit (mg/l)</t>
  </si>
  <si>
    <t>Post-2025 TP permit limit (mg/l)</t>
  </si>
  <si>
    <t>Post-2030 TP permit limit (mg/l)</t>
  </si>
  <si>
    <t>Boxford STW</t>
  </si>
  <si>
    <t>Chieveley WwTW</t>
  </si>
  <si>
    <t>0.9 (90% of permit limit)</t>
  </si>
  <si>
    <t>East Shefford WwTW</t>
  </si>
  <si>
    <t>Fawley WwTW</t>
  </si>
  <si>
    <t>Wickham WwTW</t>
  </si>
  <si>
    <t>Winterbourne STW</t>
  </si>
  <si>
    <t>Soil Drainage Criteria</t>
  </si>
  <si>
    <r>
      <t xml:space="preserve">The drainage characteristics of soil has a control over the dominant flow pathways for pollutant losses and as such controls the loading of phosphorus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 The user should use the Soilscapes tool (Cranfield soil and Agrifood institute, 2020) to determine the dominant soil type on their site. Soilscapes can be found at </t>
    </r>
    <r>
      <rPr>
        <b/>
        <sz val="10.5"/>
        <rFont val="Calibri"/>
        <family val="2"/>
        <scheme val="minor"/>
      </rPr>
      <t>http://www.landis.org.uk/soilscapes/index.cfm</t>
    </r>
  </si>
  <si>
    <t>The following table is used to identify the dominant drainage type of the proposed development from the soil type identified above. The drainage type should then inform Stage 2 of the calculator</t>
  </si>
  <si>
    <t>Free draining</t>
  </si>
  <si>
    <t>Impermeable - drained for arable</t>
  </si>
  <si>
    <t>Impermeable - drained for arable &amp; grassland</t>
  </si>
  <si>
    <t>Colour</t>
  </si>
  <si>
    <t>ID</t>
  </si>
  <si>
    <t>Name</t>
  </si>
  <si>
    <t>colour</t>
  </si>
  <si>
    <t xml:space="preserve">	Shallow lime-rich soils over chalk or limestone</t>
  </si>
  <si>
    <t>Saltmarsh soils</t>
  </si>
  <si>
    <t>Slowly permeable seasonally wet acid loamy and clayey soils</t>
  </si>
  <si>
    <t>Sand dune soils</t>
  </si>
  <si>
    <t>Shallow very acid peaty soils over rock</t>
  </si>
  <si>
    <t>Slowly permeable seasonally wet slightly acid but base-rich loamy and clayey soils</t>
  </si>
  <si>
    <t xml:space="preserve">	Freely draining lime-rich loamy soils</t>
  </si>
  <si>
    <t>Slightly acid loamy and clayey soils with impeded drainage</t>
  </si>
  <si>
    <t>Slowly permeable wet very acid upland soils with a peaty surface</t>
  </si>
  <si>
    <t>Freely draining slightly acid loamy soils</t>
  </si>
  <si>
    <t>Lime-rich loamy and clayey soils with impeded drainage</t>
  </si>
  <si>
    <t>Freely draining slightly acid but base-rich soils</t>
  </si>
  <si>
    <t>Naturally wet very acid sandy and loamy soils</t>
  </si>
  <si>
    <t>Freely draining slightly acid sandy soils</t>
  </si>
  <si>
    <t xml:space="preserve">	Very acid loamy upland soils with a wet peaty surface</t>
  </si>
  <si>
    <t xml:space="preserve">	Freely draining sandy Breckland soils</t>
  </si>
  <si>
    <t>Loamy and clayey floodplain soils with naturally high groundwater</t>
  </si>
  <si>
    <t>Freely draining floodplain soils</t>
  </si>
  <si>
    <t>Loamy and clayey soils of coastal flats with naturally high groundwater</t>
  </si>
  <si>
    <t>Freely draining acid loamy soils over rock</t>
  </si>
  <si>
    <t>Loamy soils with naturally high groundwater</t>
  </si>
  <si>
    <t>Freely draining very acid sandy and loamy soils</t>
  </si>
  <si>
    <t>Loamy and sandy soils with naturally high groundwater and a peaty surface</t>
  </si>
  <si>
    <t xml:space="preserve">	Restored soils mostly from quarry and opencast spoil</t>
  </si>
  <si>
    <t>Blanket bog peat soils</t>
  </si>
  <si>
    <t>Raised bog peat soils</t>
  </si>
  <si>
    <t xml:space="preserve">	Fen peat soils</t>
  </si>
  <si>
    <t>Finding out whether the development is in a Nitrate Vulnerable Zone (NVZ):</t>
  </si>
  <si>
    <t>a) Go to this link: https://mapapps2.bgs.ac.uk/ukso/home.html?layers=NVZEng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</si>
  <si>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</si>
  <si>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</si>
  <si>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</si>
  <si>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r>
      <t>HaskoningDHV UK Ltd., a company of</t>
    </r>
    <r>
      <rPr>
        <b/>
        <sz val="10.5"/>
        <color rgb="FF000000"/>
        <rFont val="Calibri"/>
        <family val="2"/>
        <scheme val="minor"/>
      </rPr>
      <t xml:space="preserve"> </t>
    </r>
    <r>
      <rPr>
        <sz val="10.5"/>
        <color rgb="FF000000"/>
        <rFont val="Calibri"/>
        <family val="2"/>
        <scheme val="minor"/>
      </rPr>
      <t>Royal HaskoningDHV
Westpoint, Lynch Wood Business Park,
Peterborough PE2 6FZ
Registered in England 1336844
W: www.royalhaskoningdhv.com</t>
    </r>
  </si>
  <si>
    <t>Planning Application Reference No.</t>
  </si>
  <si>
    <t>Site address:</t>
  </si>
  <si>
    <t>Site proposal:</t>
  </si>
  <si>
    <t xml:space="preserve"> </t>
  </si>
  <si>
    <t xml:space="preserve">Date: </t>
  </si>
  <si>
    <t>Additional information:</t>
  </si>
  <si>
    <r>
      <rPr>
        <b/>
        <sz val="11"/>
        <color rgb="FF000000"/>
        <rFont val="Calibri"/>
        <family val="2"/>
        <scheme val="minor"/>
      </rPr>
      <t>Stage 1</t>
    </r>
    <r>
      <rPr>
        <sz val="11"/>
        <color rgb="FF000000"/>
        <rFont val="Calibri"/>
        <family val="2"/>
        <scheme val="minor"/>
      </rPr>
      <t xml:space="preserve"> </t>
    </r>
  </si>
  <si>
    <t>Calculate nutrient load (Kg/year) derived from the development as a result of increased population</t>
  </si>
  <si>
    <r>
      <t xml:space="preserve">Note: This calculation should only include the </t>
    </r>
    <r>
      <rPr>
        <b/>
        <i/>
        <sz val="8"/>
        <color rgb="FF000000"/>
        <rFont val="Calibri"/>
        <family val="2"/>
        <scheme val="minor"/>
      </rPr>
      <t>additional</t>
    </r>
    <r>
      <rPr>
        <i/>
        <sz val="8"/>
        <color rgb="FF000000"/>
        <rFont val="Calibri"/>
        <family val="2"/>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t>
    </r>
  </si>
  <si>
    <t>1.</t>
  </si>
  <si>
    <t>Calculate the additional population</t>
  </si>
  <si>
    <t>Value</t>
  </si>
  <si>
    <t>Unit</t>
  </si>
  <si>
    <t>Number of dwellings proposed</t>
  </si>
  <si>
    <t>dwellings</t>
  </si>
  <si>
    <t>Average occupancy</t>
  </si>
  <si>
    <t>persons/dwelling</t>
  </si>
  <si>
    <r>
      <t xml:space="preserve">Number of </t>
    </r>
    <r>
      <rPr>
        <b/>
        <sz val="10"/>
        <color rgb="FF000000"/>
        <rFont val="Calibri"/>
        <family val="2"/>
        <scheme val="minor"/>
      </rPr>
      <t>additional</t>
    </r>
    <r>
      <rPr>
        <sz val="10"/>
        <color rgb="FF000000"/>
        <rFont val="Calibri"/>
        <family val="2"/>
        <scheme val="minor"/>
      </rPr>
      <t xml:space="preserve"> rooms above 6 residents (sui generis) for houses in multiple occupation</t>
    </r>
  </si>
  <si>
    <t>Number of rooms in a hotel or guest house proposed</t>
  </si>
  <si>
    <t>Number of weeks open per year (1-52)</t>
  </si>
  <si>
    <t>Weeks</t>
  </si>
  <si>
    <t>Average occupancy rate (1-100)</t>
  </si>
  <si>
    <t>%</t>
  </si>
  <si>
    <t>Total population increase generated by the development</t>
  </si>
  <si>
    <t>Persons</t>
  </si>
  <si>
    <t>2.</t>
  </si>
  <si>
    <t>Wastewater volume generated</t>
  </si>
  <si>
    <t>Water use per person</t>
  </si>
  <si>
    <t>Litres/person/day</t>
  </si>
  <si>
    <t>Wastewater volume generated by the development</t>
  </si>
  <si>
    <t>Litres/day</t>
  </si>
  <si>
    <t>Please select how the sewage from the proposed development will be handled, noting that a development must be handled by either wastewater treatment plants or onsite treatment plant, and cannot be handled by both. Consideration of wastewater loading is not required where a site drains to a wastewater Treatment Works that does not drain in to the catchment.</t>
  </si>
  <si>
    <t>Is sewage to be handled by wastewater treatment works?</t>
  </si>
  <si>
    <t>Yes</t>
  </si>
  <si>
    <t>Is sewage to be handled by Onsite treatment plants?</t>
  </si>
  <si>
    <t>3a.</t>
  </si>
  <si>
    <t>TP budget that would exit the Wastewater Treatment Works (WwTW) after treatment</t>
  </si>
  <si>
    <t>3b.</t>
  </si>
  <si>
    <t>TP budget for Onsite treatment plants</t>
  </si>
  <si>
    <t>Note: If the sewage is to be treated by wastewater treatment plants then the user should select "Yes" in the list above. If package treatment plants are to be used instead, then the user should select "No" above. 
This is the process of collecting wastewater from houses and guiding it, via the sewage network, to WwTW (also known as sewage works). The nutrient concentration of the influent is calculated by multiplying the number of people by the expected water usage per day. The nutrient concentration within the effluent is calculated by applying the discharge level of the appropriate WwTW. The nutrient loading is expressed in kg/year.</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</si>
  <si>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</si>
  <si>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Confirm receiving WwTW and discharge level</t>
  </si>
  <si>
    <t>Calculate nutrient load after treatment</t>
  </si>
  <si>
    <t>Select the WwTW the development will connect to</t>
  </si>
  <si>
    <t>Chieveley</t>
  </si>
  <si>
    <t>Select the type of On-site treatment works</t>
  </si>
  <si>
    <t>Default package treatment plant</t>
  </si>
  <si>
    <t>Current discharge</t>
  </si>
  <si>
    <t>Post 2030 discharge</t>
  </si>
  <si>
    <t>Phosphorus WwTW discharge level</t>
  </si>
  <si>
    <t>mg/l</t>
  </si>
  <si>
    <t>Phosphorus discharge level</t>
  </si>
  <si>
    <t xml:space="preserve">Note: Please use the drop down lists to select the WwTW that the proposed development will be connected to. If the WwTW is not known, then please select 'Unknown' from the drop down list.  </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</si>
  <si>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</si>
  <si>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Calculate the nutrient load discharged by the WwTW</t>
  </si>
  <si>
    <t>Calculate loading from wastewater with Onsite treatment plants</t>
  </si>
  <si>
    <t>TP discharged by WwTW</t>
  </si>
  <si>
    <t>kg/year</t>
  </si>
  <si>
    <t>TP discharged by on-site treatment plant</t>
  </si>
  <si>
    <t>Kg/year</t>
  </si>
  <si>
    <t>4.</t>
  </si>
  <si>
    <t>Additional population load</t>
  </si>
  <si>
    <t>Current</t>
  </si>
  <si>
    <t>Post 2030</t>
  </si>
  <si>
    <t>TP load from additional population</t>
  </si>
  <si>
    <t>Calculate existing (pre-development) TP from current land use of the development</t>
  </si>
  <si>
    <t>Note: Where development sites include existing areas that are to be retained, these areas can be excluded from the calculations in both Stages 2 and 3.</t>
  </si>
  <si>
    <t>Identify current land uses of the development site</t>
  </si>
  <si>
    <t>Select the soil drainage type</t>
  </si>
  <si>
    <t>Select annual average rainfall band</t>
  </si>
  <si>
    <t>600-625</t>
  </si>
  <si>
    <t>mm/yr</t>
  </si>
  <si>
    <t>Within Nitrate Vulnerable Zone (NVZ)</t>
  </si>
  <si>
    <t>No</t>
  </si>
  <si>
    <t>Note: Use the criteria table in the Help tab to identify if the soil type</t>
  </si>
  <si>
    <t>Note: Rainfall can be determined using the Rainfall tab</t>
  </si>
  <si>
    <t>Note: Use the Link in the introduction tab to find out whether the development is in a Nitrate Vulnerable Zone (NVZ)</t>
  </si>
  <si>
    <t>Select the existing land use type(s)</t>
  </si>
  <si>
    <t>TP loading</t>
  </si>
  <si>
    <t>Hectares</t>
  </si>
  <si>
    <t>Kg/yr</t>
  </si>
  <si>
    <t>Poultry</t>
  </si>
  <si>
    <t>Pigs</t>
  </si>
  <si>
    <t>Woodland (e.g. conifer, mixed, broad-leaved)</t>
  </si>
  <si>
    <t>Sum total</t>
  </si>
  <si>
    <t>3.</t>
  </si>
  <si>
    <t>Calculate loading from current land usage</t>
  </si>
  <si>
    <t>TP load from proposed land usage</t>
  </si>
  <si>
    <r>
      <t xml:space="preserve">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t>
    </r>
    <r>
      <rPr>
        <sz val="8"/>
        <color rgb="FF000000"/>
        <rFont val="Calibri"/>
        <family val="2"/>
        <scheme val="minor"/>
      </rPr>
      <t>the mitigation tabs</t>
    </r>
    <r>
      <rPr>
        <i/>
        <sz val="8"/>
        <color rgb="FF000000"/>
        <rFont val="Calibri"/>
        <family val="2"/>
        <scheme val="minor"/>
      </rPr>
      <t xml:space="preserve"> (if mitigation is required).</t>
    </r>
  </si>
  <si>
    <t>Identify proposed land uses of the development site</t>
  </si>
  <si>
    <t>High intensity urban land</t>
  </si>
  <si>
    <t>Medium intensity urban land</t>
  </si>
  <si>
    <t>Low intensity urban land</t>
  </si>
  <si>
    <t>Commercial / industrial urban land</t>
  </si>
  <si>
    <t>Open Space urban land</t>
  </si>
  <si>
    <t>Allotments and city farms</t>
  </si>
  <si>
    <t>Designed WetlandS</t>
  </si>
  <si>
    <t>Wetland / SuDS area</t>
  </si>
  <si>
    <t>TP Banking coefficient</t>
  </si>
  <si>
    <t>Kg/ha/year</t>
  </si>
  <si>
    <t>Note: Please input the banking coefficient (i.e. wetland removal rate in kg/ha/yr) calculated for the designed wetland. The calculated value should be justifiable with supporting evidence.</t>
  </si>
  <si>
    <t>Sum total of land uses</t>
  </si>
  <si>
    <t>Note: The sum total of land uses must equal the development site area inputted in Stage 2 - the box will colour red if the areas do not match. Wetland refers to specific wetland off a watercourse - for more information refer to the land use definitions in the help tab.</t>
  </si>
  <si>
    <t>Calculate loading from proposed land usage</t>
  </si>
  <si>
    <t>Calculate the net change in nutrient load from the proposed development</t>
  </si>
  <si>
    <t>Note: This stage calculates the net change in TP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 2025 WwTW permit levels where applicable</t>
  </si>
  <si>
    <t>Summary</t>
  </si>
  <si>
    <t>No. of dwellings</t>
  </si>
  <si>
    <t>Identify the load from additional population</t>
  </si>
  <si>
    <t>Current discharge concentration</t>
  </si>
  <si>
    <t>TP Loading from additional population</t>
  </si>
  <si>
    <t>Post 2030 discharge concentration</t>
  </si>
  <si>
    <t>Calculate net change in nutrient load from land use change</t>
  </si>
  <si>
    <t xml:space="preserve">TP current land use </t>
  </si>
  <si>
    <t>TP load from land use change</t>
  </si>
  <si>
    <t>TP proposed land use</t>
  </si>
  <si>
    <t>Calculate nutrient budget for the development site</t>
  </si>
  <si>
    <t>TP budget for the site</t>
  </si>
  <si>
    <t>Calculate precautionary buffer</t>
  </si>
  <si>
    <t>Buffer amount</t>
  </si>
  <si>
    <t>TP Precautionary buffer</t>
  </si>
  <si>
    <t>Development will be Phosphorus neutral - no mitigation will be required</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</si>
  <si>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20% precautionary buffer is added to the budget calculations.</t>
  </si>
  <si>
    <r>
      <t xml:space="preserve">Development will generate additional Phosphorus (Mitigation required) - Please progress to </t>
    </r>
    <r>
      <rPr>
        <b/>
        <sz val="10"/>
        <color rgb="FF000000"/>
        <rFont val="Arial"/>
        <family val="2"/>
      </rPr>
      <t>Mitigation - current</t>
    </r>
    <r>
      <rPr>
        <sz val="10"/>
        <color rgb="FF000000"/>
        <rFont val="Arial"/>
        <family val="2"/>
      </rPr>
      <t xml:space="preserve"> tab</t>
    </r>
  </si>
  <si>
    <t>Development will generate additional Phosphorus (Mitigation required) - Please progress to Mitigation - post 2025 tab</t>
  </si>
  <si>
    <t>5.</t>
  </si>
  <si>
    <t>Total nutrient budget for the development site</t>
  </si>
  <si>
    <t>Development will generate additional Phosphorus (Mitigation required) - Please progress to Mitigation - post 2030 tab</t>
  </si>
  <si>
    <t>Total Phosphorus budget for the site</t>
  </si>
  <si>
    <t>Current WwTW Permit levels</t>
  </si>
  <si>
    <t>Post 2030 WwTW Permit levels</t>
  </si>
  <si>
    <t>Lambourn</t>
  </si>
  <si>
    <t>600-700 mm/yr</t>
  </si>
  <si>
    <t>700-900 mm/yr</t>
  </si>
  <si>
    <t>Rainfall band</t>
  </si>
  <si>
    <t>midpoint</t>
  </si>
  <si>
    <t>Catchment wetness (U)</t>
  </si>
  <si>
    <t>Commercial / Industrial</t>
  </si>
  <si>
    <t>Wastewater Treatment works (WwTW)</t>
  </si>
  <si>
    <t>2020 Value known?</t>
  </si>
  <si>
    <t>2020 P Discharge level (mg/L)</t>
  </si>
  <si>
    <t>2025 Value known?</t>
  </si>
  <si>
    <t>2025 P Discharge level (mg/L)</t>
  </si>
  <si>
    <t>2030 Value known?</t>
  </si>
  <si>
    <t>2030 P Discharge level (mg/L)</t>
  </si>
  <si>
    <t>Land Use classification</t>
  </si>
  <si>
    <t>Leaching rate (kg / ha / yr)</t>
  </si>
  <si>
    <t>Impermeable (Drained for Arable)</t>
  </si>
  <si>
    <t>Impermeable (Drained for Arable + Grassland)</t>
  </si>
  <si>
    <t>Boxford</t>
  </si>
  <si>
    <t>625-650</t>
  </si>
  <si>
    <t>650-675</t>
  </si>
  <si>
    <t>East Shefford</t>
  </si>
  <si>
    <t>Mixed Livestock</t>
  </si>
  <si>
    <t>675-700</t>
  </si>
  <si>
    <t>Fawley</t>
  </si>
  <si>
    <t>Shrub / heathland / bracken / bog</t>
  </si>
  <si>
    <t>700-750</t>
  </si>
  <si>
    <t>Wickham</t>
  </si>
  <si>
    <t>Pig</t>
  </si>
  <si>
    <t>750-800</t>
  </si>
  <si>
    <t>Winterbourne</t>
  </si>
  <si>
    <t>Constructed wetland</t>
  </si>
  <si>
    <t>800-850</t>
  </si>
  <si>
    <t>unknown</t>
  </si>
  <si>
    <t>Set aside Land</t>
  </si>
  <si>
    <t>850-900</t>
  </si>
  <si>
    <t>Allotment</t>
  </si>
  <si>
    <t>Land use</t>
  </si>
  <si>
    <t>Imperviousness (%)</t>
  </si>
  <si>
    <t>EMC (mg/l)</t>
  </si>
  <si>
    <t>Treatment type</t>
  </si>
  <si>
    <t>P removal</t>
  </si>
  <si>
    <t>Package treatment plant</t>
  </si>
  <si>
    <t>Please enter effluent concentration in cell to right:</t>
  </si>
  <si>
    <t>Please enter effluent concentration of 9.7mg/l in cell to right:</t>
  </si>
  <si>
    <t>Septic tank</t>
  </si>
  <si>
    <t>Default septic tank</t>
  </si>
  <si>
    <t>Please enter effluent concentration of 11.6mg/l in cell to right:</t>
  </si>
  <si>
    <t>Urban open</t>
  </si>
  <si>
    <t>Calculate the nutrient banking for the proposed development</t>
  </si>
  <si>
    <t xml:space="preserve">Note: This section is only required for projects that will generate additional nutrients and as a result need to implement mitigation measures, in order to achieve nutrient neutrality under the current WwTW permit limits. </t>
  </si>
  <si>
    <t xml:space="preserve">Total Phosphorus budget for the development site </t>
  </si>
  <si>
    <t>TP budget to be mitigated</t>
  </si>
  <si>
    <t>Identify current land use of mitigation area</t>
  </si>
  <si>
    <t>2a.</t>
  </si>
  <si>
    <t>On-site mitigation</t>
  </si>
  <si>
    <t>Off-site mitigation</t>
  </si>
  <si>
    <t>Note: If the mitigation is to be implemented on-site then the user should select "Yes" in the list above. If off-site mitigation is to be implemented instead, then the user should select "No" above. The user then has the option (by slecting 'Yes') to either select the average land use on-site or the specific land use if there is more than one land use present.</t>
  </si>
  <si>
    <t>Note: If the mitigation is to be implemented off-site then the user should select "Yes" in the list above. If on-site mitigation is to be implemented instead, then the user should select "No" above.</t>
  </si>
  <si>
    <t>Identify current land use on-site mitigation area</t>
  </si>
  <si>
    <t>Identify current land use of off-site mitigation area</t>
  </si>
  <si>
    <t>Average land use of the on-site mitigation area</t>
  </si>
  <si>
    <t>Specific land use of on-site mitigation area</t>
  </si>
  <si>
    <t>Specific land use of off-site mitigation area</t>
  </si>
  <si>
    <t>On-site mitigation land runoff coefficient</t>
  </si>
  <si>
    <t>Off-site mitigation land runoff coefficient</t>
  </si>
  <si>
    <t>mitigation land runoff coefficient</t>
  </si>
  <si>
    <t>Potential land uses for mitigation</t>
  </si>
  <si>
    <t>Urban open Space</t>
  </si>
  <si>
    <t>Heathland / Bog</t>
  </si>
  <si>
    <t>Meadow/semi-natural grassland/greenspace</t>
  </si>
  <si>
    <t>Designed Wetland banking coefficient</t>
  </si>
  <si>
    <t>Banking coefficient</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</si>
  <si>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</si>
  <si>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Identify proposed land uses for mitigation</t>
  </si>
  <si>
    <t>Sum total area needed to be created</t>
  </si>
  <si>
    <t>hectares</t>
  </si>
  <si>
    <t>Freely draining</t>
  </si>
  <si>
    <t>Mitigation - post 2030</t>
  </si>
  <si>
    <t>TP Zero value calculations</t>
  </si>
  <si>
    <t>% fallowed</t>
  </si>
  <si>
    <t>Proposed multiplier</t>
  </si>
  <si>
    <t>Set aside multiplier</t>
  </si>
  <si>
    <t>Proposed land use (kg/yr)</t>
  </si>
  <si>
    <t>Set aside land use (kg/yr)</t>
  </si>
  <si>
    <t>Sum land use</t>
  </si>
  <si>
    <t>Net change land use</t>
  </si>
  <si>
    <t>Dwellings/ha</t>
  </si>
  <si>
    <t>WwTW</t>
  </si>
  <si>
    <t>Total</t>
  </si>
  <si>
    <t>Development will be Phosphorous neutral - no mitigation will be required</t>
  </si>
  <si>
    <t>Development will generate additional Phosphorous (Mitigation required) - Please progress to Stage 5</t>
  </si>
  <si>
    <t>Development will generate additional Phosphorous (Mitigation required) - Please progress to Stage 6</t>
  </si>
  <si>
    <t>Stage 7</t>
  </si>
  <si>
    <t>Total Area of proposed TP mitigation land uses</t>
  </si>
  <si>
    <t>Current WwTW</t>
  </si>
  <si>
    <t>Post 2030 WwTW</t>
  </si>
  <si>
    <t>Difference</t>
  </si>
  <si>
    <t>Units</t>
  </si>
  <si>
    <t>Open Space / Greenfield</t>
  </si>
  <si>
    <t>Nature reserve</t>
  </si>
  <si>
    <t>Meadow/semi-natural grassland</t>
  </si>
  <si>
    <t>Note: This section demonstrates to the user the amount of mitigation land that is no longer required for the project to be 'Phosphate Neutral' following implementation of the AMP7 WwTW permit limits</t>
  </si>
  <si>
    <t>Iterative 'Zero' value calculator</t>
  </si>
  <si>
    <t>Note: This section provides details on the number of proposed dwellings that are acceptable as nutrient neutral prior to the implementation of mitigation measures, should they be required.</t>
  </si>
  <si>
    <t>Please select the Development type</t>
  </si>
  <si>
    <t>House</t>
  </si>
  <si>
    <t>Summary of proposed development</t>
  </si>
  <si>
    <t>Zero value</t>
  </si>
  <si>
    <t>Number of units proposed</t>
  </si>
  <si>
    <t>TP percentage of development neutral</t>
  </si>
  <si>
    <t>Total Development area</t>
  </si>
  <si>
    <t>Excess TP</t>
  </si>
  <si>
    <t>Current nutrient load</t>
  </si>
  <si>
    <t>Number of dwellings</t>
  </si>
  <si>
    <t>TP load from current land usage</t>
  </si>
  <si>
    <t>Proposed nutrient load</t>
  </si>
  <si>
    <t>TP loading from Wastewater</t>
  </si>
  <si>
    <t>_Ctrl_1</t>
  </si>
  <si>
    <t>{"WidgetClassification":3,"State":1,"HyperlinkFlavor":0,"Placement":0,"LinkTarget":0,"CellName":"_Ctrl_1","CellAddress":"='Help'!$C$83","WidgetName":8,"HiddenRow":1,"SheetCodeName":null,"ControlId":"","wcb":0}</t>
  </si>
  <si>
    <t>{"IsHide":false,"HiddenInExcel":false,"SheetId":-1,"Name":"Introduction","Guid":"GH02KY","Index":1,"VisibleRange":"","SheetTheme":{"TabColor":"","BodyColor":"","BodyImage":""},"IsPrintSheet":false}</t>
  </si>
  <si>
    <t>{"InputDetection":2,"RecalcMode":0,"Layout":0,"LayoutSamePagesHeightEnabled":false,"Theme":{"BgColor":"#FFFFFFFF","BgImage":"","InputBorderStyle":2,"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</si>
  <si>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</si>
  <si>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_Ctrl_2</t>
  </si>
  <si>
    <t>{"WidgetClassification":3,"State":1,"HyperlinkFlavor":0,"Placement":0,"LinkTarget":0,"CellName":"_Ctrl_2","CellAddress":"='Help'!$C$84","WidgetName":8,"HiddenRow":2,"SheetCodeName":null,"ControlId":"","wcb":0}</t>
  </si>
  <si>
    <t>{"IsHide":false,"HiddenInExcel":false,"SheetId":-1,"Name":"Peak District Catchment","Guid":"XKC4XI","Index":2,"VisibleRange":"","SheetTheme":{"TabColor":"","BodyColor":"","BodyImage":""},"IsPrintSheet":false}</t>
  </si>
  <si>
    <t>_Ctrl_3</t>
  </si>
  <si>
    <t>{"WidgetClassification":3,"State":1,"HyperlinkFlavor":0,"Placement":0,"LinkTarget":0,"CellName":"_Ctrl_3","CellAddress":"='Help'!$C$86","WidgetName":8,"HiddenRow":3,"SheetCodeName":null,"ControlId":"","wcb":0}</t>
  </si>
  <si>
    <t>{"IsHide":false,"HiddenInExcel":false,"SheetId":-1,"Name":"Info","Guid":"MWW6DG","Index":3,"VisibleRange":"","SheetTheme":{"TabColor":"","BodyColor":"","BodyImage":""},"IsPrintSheet":false}</t>
  </si>
  <si>
    <t>_Ctrl_4</t>
  </si>
  <si>
    <t>{"WidgetClassification":3,"State":1,"HyperlinkFlavor":0,"Placement":0,"LinkTarget":0,"CellName":"_Ctrl_4","CellAddress":"='Help'!$C$36","WidgetName":8,"HiddenRow":4,"SheetCodeName":null,"ControlId":"","wcb":0}</t>
  </si>
  <si>
    <t>{"IsHide":false,"HiddenInExcel":false,"SheetId":-1,"Name":"Stage 1","Guid":"2IH9DR","Index":4,"VisibleRange":"","SheetTheme":{"TabColor":"","BodyColor":"","BodyImage":""},"IsPrintSheet":false}</t>
  </si>
  <si>
    <t>_Ctrl_5</t>
  </si>
  <si>
    <t>{"WidgetClassification":0,"State":1,"IsRequired":false,"IsMultiline":true,"IsHidden":false,"Placeholder":"","InputType":0,"Rows":3,"IsMergeJustify":false,"CellName":"_Ctrl_5","CellAddress":"='Info'!$C$13","WidgetName":4,"HiddenRow":5,"SheetCodeName":null,"ControlId":"","wcb":0}</t>
  </si>
  <si>
    <t>{"IsHide":false,"HiddenInExcel":false,"SheetId":-1,"Name":"Stage 2","Guid":"PBBYLW","Index":5,"VisibleRange":"","SheetTheme":{"TabColor":"","BodyColor":"","BodyImage":""},"IsPrintSheet":false}</t>
  </si>
  <si>
    <t>_Ctrl_6</t>
  </si>
  <si>
    <t>{"WidgetClassification":0,"State":1,"IsRequired":false,"IsMultiline":true,"IsHidden":false,"Placeholder":"","InputType":0,"Rows":3,"IsMergeJustify":false,"CellName":"_Ctrl_6","CellAddress":"='Info'!$E$8","WidgetName":4,"HiddenRow":6,"SheetCodeName":null,"ControlId":"","wcb":0}</t>
  </si>
  <si>
    <t>{"IsHide":false,"HiddenInExcel":false,"SheetId":-1,"Name":"Stage 3","Guid":"OBSXTD","Index":6,"VisibleRange":"","SheetTheme":{"TabColor":"","BodyColor":"","BodyImage":""},"IsPrintSheet":false}</t>
  </si>
  <si>
    <t>_Ctrl_7</t>
  </si>
  <si>
    <t>{"WidgetClassification":0,"State":1,"IsRequired":false,"IsMultiline":true,"IsHidden":false,"Placeholder":"","InputType":0,"Rows":3,"IsMergeJustify":false,"CellName":"_Ctrl_7","CellAddress":"='Info'!$E$6","WidgetName":4,"HiddenRow":7,"SheetCodeName":null,"ControlId":"","wcb":0}</t>
  </si>
  <si>
    <t>{"IsHide":false,"HiddenInExcel":false,"SheetId":-1,"Name":"Stage 4","Guid":"LE582F","Index":7,"VisibleRange":"","SheetTheme":{"TabColor":"","BodyColor":"","BodyImage":""},"IsPrintSheet":false}</t>
  </si>
  <si>
    <t>_Ctrl_8</t>
  </si>
  <si>
    <t>{"IsHide":false,"HiddenInExcel":false,"SheetId":-1,"Name":"Mitigation - current","Guid":"HSZ08X","Index":8,"VisibleRange":"","SheetTheme":{"TabColor":"","BodyColor":"","BodyImage":""},"IsPrintSheet":false}</t>
  </si>
  <si>
    <t>_Ctrl_9</t>
  </si>
  <si>
    <t>{"IsHide":false,"HiddenInExcel":false,"SheetId":-1,"Name":"Mitigation - post 2025","Guid":"AFLF23","Index":9,"VisibleRange":"","SheetTheme":{"TabColor":"","BodyColor":"","BodyImage":""},"IsPrintSheet":false}</t>
  </si>
  <si>
    <t>_Ctrl_10</t>
  </si>
  <si>
    <t>{"IsHide":true,"HiddenInExcel":true,"SheetId":-1,"Name":"Mitigation - post 2030","Guid":"GI9I06","Index":10,"VisibleRange":"","SheetTheme":{"TabColor":"","BodyColor":"","BodyImage":""},"IsPrintSheet":false}</t>
  </si>
  <si>
    <t>_Ctrl_11</t>
  </si>
  <si>
    <t>{"IsHide":true,"HiddenInExcel":true,"SheetId":-1,"Name":"Graph Calculations","Guid":"L2SEMM","Index":11,"VisibleRange":"","SheetTheme":{"TabColor":"","BodyColor":"","BodyImage":""},"IsPrintSheet":false}</t>
  </si>
  <si>
    <t>_Ctrl_12</t>
  </si>
  <si>
    <t>{"IsHide":true,"HiddenInExcel":true,"SheetId":-1,"Name":"Mitigation land use comparison","Guid":"KT56TH","Index":12,"VisibleRange":"","SheetTheme":{"TabColor":"","BodyColor":"","BodyImage":""},"IsPrintSheet":false}</t>
  </si>
  <si>
    <t>_Ctrl_13</t>
  </si>
  <si>
    <t>{"IsHide":false,"HiddenInExcel":false,"SheetId":-1,"Name":"Data Tables","Guid":"DHW3E9","Index":13,"VisibleRange":"","SheetTheme":{"TabColor":"","BodyColor":"","BodyImage":""},"IsPrintSheet":false}</t>
  </si>
  <si>
    <t>_Ctrl_14</t>
  </si>
  <si>
    <t>{"IsHide":false,"HiddenInExcel":false,"SheetId":-1,"Name":"Sheet1","Guid":"EVON32","Index":14,"VisibleRange":"","SheetTheme":{"TabColor":"","BodyColor":"","BodyImage":""},"IsPrintSheet":false}</t>
  </si>
  <si>
    <t>_Ctrl_15</t>
  </si>
  <si>
    <t>{"IsHide":false,"HiddenInExcel":false,"SheetId":-1,"Name":"Zero value Calc","Guid":"2I8WXQ","Index":15,"VisibleRange":"","SheetTheme":{"TabColor":"","BodyColor":"","BodyImage":""},"IsPrintSheet":false}</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</si>
  <si>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</si>
  <si>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</si>
  <si>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</si>
  <si>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</si>
  <si>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</si>
  <si>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</si>
  <si>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</si>
  <si>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</si>
  <si>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</si>
  <si>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</si>
  <si>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</si>
  <si>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</si>
  <si>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</si>
  <si>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</si>
  <si>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</si>
  <si>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</si>
  <si>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</si>
  <si>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</si>
  <si>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</si>
  <si>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</si>
  <si>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</si>
  <si>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</si>
  <si>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</si>
  <si>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</si>
  <si>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</si>
  <si>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</si>
  <si>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</si>
  <si>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</si>
  <si>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</si>
  <si>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</si>
  <si>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</si>
  <si>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</si>
  <si>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</si>
  <si>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</si>
  <si>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</si>
  <si>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</si>
  <si>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</si>
  <si>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</si>
  <si>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</si>
  <si>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</si>
  <si>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</si>
  <si>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</si>
  <si>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</si>
  <si>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</si>
  <si>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</si>
  <si>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</si>
  <si>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</si>
  <si>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</si>
  <si>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</si>
  <si>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</si>
  <si>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</si>
  <si>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</si>
  <si>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_Ctrl_66</t>
  </si>
  <si>
    <t>{"WidgetClassification":0,"State":1,"IsRequired":false,"DDLDefaultRequiredText":"Blisland","ListItem":"Blisland\r\nBodmin - Nanstallon\r\nBodmin - Scarlett's Well\r\nCamelford\r\nDelabole\r\nHelstone\r\nSt Breward\r\nSt Mabyn\r\nSt Teath\r\nUnknown","VlookupRange":"","ShowListLabel":true,"ShowDt":false,"CellName":"_Ctrl_66","CellAddress":"='Stage 1'!$K$44","WidgetName":3,"HiddenRow":66,"SheetCodeName":null,"ControlId":"","wcb":0}</t>
  </si>
  <si>
    <t>Blisland</t>
  </si>
  <si>
    <t>Bodmin - Nanstallon</t>
  </si>
  <si>
    <t>Bodmin - Scarlett's Well</t>
  </si>
  <si>
    <t>Camelford</t>
  </si>
  <si>
    <t>Delabole</t>
  </si>
  <si>
    <t>Helstone</t>
  </si>
  <si>
    <t>St Breward</t>
  </si>
  <si>
    <t>St Mabyn</t>
  </si>
  <si>
    <t>St Teath</t>
  </si>
  <si>
    <t>Unknown</t>
  </si>
  <si>
    <t>Note: This section allows the user to input the required area for the various land uses to be created, with the equivalent TP to be offset in order for the development to be nutrient neutral. The same applies as above regarding on-site mitigation.</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</si>
  <si>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put back into Stage 3 iteratively until the project is nutrient neutral.</t>
  </si>
  <si>
    <t>Difference in TP mitigation land uses between current WwTW permit limits and post 2030 WwTW permit limits</t>
  </si>
  <si>
    <t xml:space="preserve">Note: This section is only required for projects that will generate additional nutrients and as a result need to implement mitigation measures, in order to achieve nutrient neutrality under the post-2025 WwTW permit limits. </t>
  </si>
  <si>
    <t xml:space="preserve">Note: This section is only required for projects that will generate additional nutrients and as a result need to implement mitigation measures, in order to achieve nutrient neutrality under the post-2030 WwTW permit limits. </t>
  </si>
  <si>
    <t xml:space="preserve">This stage provides a summary of the nutrient loads calculated in stages 1-3 and presents the nutrient budget for the proposed development.
A 20% precautionary buffer is included to account for uncertainties in the runoff coefficients used. The User has the option to change this buffer should this be appropriate.
</t>
  </si>
  <si>
    <t>The user can input an applicable value here</t>
  </si>
  <si>
    <t xml:space="preserve">The Water industry is looking to update and bring in new final effluent Total phosphorus consent which should come in before 2025, as part of the Water Industry National Environment Programme (WINEP). The enhancements are required to meet more onerous Environmental Permit requirements. Some WwTW in the catchment already operate at a permit limit. However, following plans by Thames Water under AMP7, improvements will be made to some WwTWs. Further information regarding post-2025 permit limits can be found below. Where sites do not have a permit limit, a default value of 6mg/l has been applied based on the value applied by the Environment Agency routinely for modelling purposes. The Government has table an amendment to the Levelling Up and Regeneration Bill (LURB) that will place a new statutory duty on water and sewerage companies to upgrade wastewater treatment works to the highest technically achievable limits (i.e. 0.25 mg/l) by 2030 in nutrient neutrality areas. This applies to treatment works with a population of greater than 2000. However, DEFRA are still reviewing treatment on a case by case basis to understand whether treatment works with a population less than 200 could still be mandated to achieve TAL. Post 2030 permit limits will be incorporated into the calculated once the bill is passed.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</si>
</sst>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38" x14ac:knownFonts="1">
    <font>
      <sz val="10"/>
      <color rgb="FF000000"/>
      <name val="Arial"/>
      <family val="2"/>
    </font>
    <font>
      <sz val="11"/>
      <color theme="1"/>
      <name val="Calibri"/>
      <family val="2"/>
      <scheme val="minor"/>
    </font>
    <font>
      <sz val="11"/>
      <color theme="1"/>
      <name val="Calibri"/>
      <family val="2"/>
      <scheme val="minor"/>
    </font>
    <font>
      <b/>
      <sz val="10"/>
      <color rgb="FF000000"/>
      <name val="Arial"/>
      <family val="2"/>
    </font>
    <font>
      <sz val="11"/>
      <color rgb="FF000000"/>
      <name val="Arial"/>
      <family val="2"/>
    </font>
    <font>
      <sz val="12"/>
      <color rgb="FF000000"/>
      <name val="Arial"/>
      <family val="2"/>
    </font>
    <font>
      <sz val="8"/>
      <color rgb="FF000000"/>
      <name val="Arial"/>
      <family val="2"/>
    </font>
    <font>
      <b/>
      <sz val="8"/>
      <color rgb="FF000000"/>
      <name val="Arial"/>
      <family val="2"/>
    </font>
    <font>
      <i/>
      <sz val="8"/>
      <color rgb="FF000000"/>
      <name val="Arial"/>
      <family val="2"/>
    </font>
    <font>
      <b/>
      <sz val="12"/>
      <color rgb="FF000000"/>
      <name val="Arial"/>
      <family val="2"/>
    </font>
    <font>
      <sz val="11"/>
      <color theme="1"/>
      <name val="Arial"/>
      <family val="2"/>
    </font>
    <font>
      <sz val="8"/>
      <name val="Arial"/>
      <family val="2"/>
    </font>
    <font>
      <b/>
      <sz val="11"/>
      <color theme="1"/>
      <name val="Calibri"/>
      <family val="2"/>
      <scheme val="minor"/>
    </font>
    <font>
      <u/>
      <sz val="10"/>
      <color theme="10"/>
      <name val="Arial"/>
      <family val="2"/>
    </font>
    <font>
      <b/>
      <sz val="12"/>
      <color rgb="FF000000"/>
      <name val="Calibri"/>
      <family val="2"/>
      <scheme val="minor"/>
    </font>
    <font>
      <b/>
      <sz val="10"/>
      <color rgb="FF000000"/>
      <name val="Calibri"/>
      <family val="2"/>
      <scheme val="minor"/>
    </font>
    <font>
      <sz val="10"/>
      <color rgb="FF000000"/>
      <name val="Calibri"/>
      <family val="2"/>
      <scheme val="minor"/>
    </font>
    <font>
      <sz val="10"/>
      <name val="Calibri"/>
      <family val="2"/>
      <scheme val="minor"/>
    </font>
    <font>
      <sz val="11"/>
      <color rgb="FF000000"/>
      <name val="Calibri"/>
      <family val="2"/>
      <scheme val="minor"/>
    </font>
    <font>
      <sz val="10.5"/>
      <color rgb="FF000000"/>
      <name val="Calibri"/>
      <family val="2"/>
      <scheme val="minor"/>
    </font>
    <font>
      <b/>
      <sz val="10.5"/>
      <color rgb="FF000000"/>
      <name val="Calibri"/>
      <family val="2"/>
      <scheme val="minor"/>
    </font>
    <font>
      <sz val="10.5"/>
      <color rgb="FF000000"/>
      <name val="Arial"/>
      <family val="2"/>
    </font>
    <font>
      <sz val="10.5"/>
      <color theme="1"/>
      <name val="Calibri"/>
      <family val="2"/>
      <scheme val="minor"/>
    </font>
    <font>
      <sz val="10.5"/>
      <name val="Calibri"/>
      <family val="2"/>
      <scheme val="minor"/>
    </font>
    <font>
      <b/>
      <sz val="11"/>
      <color rgb="FF000000"/>
      <name val="Calibri"/>
      <family val="2"/>
      <scheme val="minor"/>
    </font>
    <font>
      <i/>
      <sz val="8"/>
      <color rgb="FF000000"/>
      <name val="Calibri"/>
      <family val="2"/>
      <scheme val="minor"/>
    </font>
    <font>
      <b/>
      <i/>
      <sz val="8"/>
      <color rgb="FF000000"/>
      <name val="Calibri"/>
      <family val="2"/>
      <scheme val="minor"/>
    </font>
    <font>
      <sz val="12"/>
      <color rgb="FF000000"/>
      <name val="Calibri"/>
      <family val="2"/>
      <scheme val="minor"/>
    </font>
    <font>
      <sz val="8"/>
      <color rgb="FF000000"/>
      <name val="Calibri"/>
      <family val="2"/>
      <scheme val="minor"/>
    </font>
    <font>
      <sz val="10"/>
      <color rgb="FFFF0000"/>
      <name val="Calibri"/>
      <family val="2"/>
      <scheme val="minor"/>
    </font>
    <font>
      <b/>
      <sz val="8"/>
      <color rgb="FF000000"/>
      <name val="Calibri"/>
      <family val="2"/>
      <scheme val="minor"/>
    </font>
    <font>
      <b/>
      <sz val="14"/>
      <color rgb="FF000000"/>
      <name val="Calibri"/>
      <family val="2"/>
      <scheme val="minor"/>
    </font>
    <font>
      <i/>
      <sz val="10"/>
      <color rgb="FF000000"/>
      <name val="Calibri"/>
      <family val="2"/>
      <scheme val="minor"/>
    </font>
    <font>
      <b/>
      <sz val="10.5"/>
      <name val="Calibri"/>
      <family val="2"/>
      <scheme val="minor"/>
    </font>
    <font>
      <b/>
      <sz val="10.5"/>
      <color theme="1"/>
      <name val="Calibri"/>
      <family val="2"/>
      <scheme val="minor"/>
    </font>
    <font>
      <sz val="10"/>
      <color theme="1"/>
      <name val="Calibri"/>
      <family val="2"/>
      <scheme val="minor"/>
    </font>
    <font>
      <sz val="10"/>
      <color theme="1"/>
      <name val="Arial"/>
      <family val="2"/>
    </font>
    <font>
      <u/>
      <sz val="10.5"/>
      <color theme="10"/>
      <name val="Calibri"/>
      <family val="2"/>
      <scheme val="minor"/>
    </font>
  </fonts>
  <fills count="3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B9E8FF"/>
        <bgColor indexed="64"/>
      </patternFill>
    </fill>
    <fill>
      <patternFill patternType="solid">
        <fgColor rgb="FFFFFFCC"/>
        <bgColor indexed="64"/>
      </patternFill>
    </fill>
    <fill>
      <patternFill patternType="solid">
        <fgColor rgb="FFFFFF00"/>
        <bgColor indexed="64"/>
      </patternFill>
    </fill>
    <fill>
      <patternFill patternType="solid">
        <fgColor rgb="FFF0EA00"/>
        <bgColor indexed="64"/>
      </patternFill>
    </fill>
    <fill>
      <patternFill patternType="solid">
        <fgColor rgb="FFE0C0A0"/>
        <bgColor indexed="64"/>
      </patternFill>
    </fill>
    <fill>
      <patternFill patternType="solid">
        <fgColor rgb="FFCC6600"/>
        <bgColor indexed="64"/>
      </patternFill>
    </fill>
    <fill>
      <patternFill patternType="solid">
        <fgColor rgb="FF996633"/>
        <bgColor indexed="64"/>
      </patternFill>
    </fill>
    <fill>
      <patternFill patternType="solid">
        <fgColor rgb="FF603000"/>
        <bgColor indexed="64"/>
      </patternFill>
    </fill>
    <fill>
      <patternFill patternType="solid">
        <fgColor rgb="FFA29E00"/>
        <bgColor indexed="64"/>
      </patternFill>
    </fill>
    <fill>
      <patternFill patternType="solid">
        <fgColor rgb="FFDE8400"/>
        <bgColor indexed="64"/>
      </patternFill>
    </fill>
    <fill>
      <patternFill patternType="solid">
        <fgColor rgb="FFF1EFDB"/>
        <bgColor indexed="64"/>
      </patternFill>
    </fill>
    <fill>
      <patternFill patternType="solid">
        <fgColor rgb="FFF69CAB"/>
        <bgColor indexed="64"/>
      </patternFill>
    </fill>
    <fill>
      <patternFill patternType="solid">
        <fgColor rgb="FFFD7835"/>
        <bgColor indexed="64"/>
      </patternFill>
    </fill>
    <fill>
      <patternFill patternType="solid">
        <fgColor rgb="FFC40000"/>
        <bgColor indexed="64"/>
      </patternFill>
    </fill>
    <fill>
      <patternFill patternType="solid">
        <fgColor rgb="FFFFCCFF"/>
        <bgColor indexed="64"/>
      </patternFill>
    </fill>
    <fill>
      <patternFill patternType="solid">
        <fgColor rgb="FF00FE00"/>
        <bgColor indexed="64"/>
      </patternFill>
    </fill>
    <fill>
      <patternFill patternType="solid">
        <fgColor rgb="FF269A26"/>
        <bgColor indexed="64"/>
      </patternFill>
    </fill>
    <fill>
      <patternFill patternType="solid">
        <fgColor rgb="FFB2FF8B"/>
        <bgColor indexed="64"/>
      </patternFill>
    </fill>
    <fill>
      <patternFill patternType="solid">
        <fgColor rgb="FF33CCFF"/>
        <bgColor indexed="64"/>
      </patternFill>
    </fill>
    <fill>
      <patternFill patternType="solid">
        <fgColor rgb="FF3399FF"/>
        <bgColor indexed="64"/>
      </patternFill>
    </fill>
    <fill>
      <patternFill patternType="solid">
        <fgColor rgb="FF8C8CB2"/>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theme="7" tint="0.79998168889431442"/>
        <bgColor indexed="64"/>
      </patternFill>
    </fill>
    <fill>
      <patternFill patternType="solid">
        <fgColor rgb="FFDDEBF7"/>
        <bgColor indexed="64"/>
      </patternFill>
    </fill>
    <fill>
      <patternFill patternType="solid">
        <fgColor rgb="FFD6F4FE"/>
        <bgColor indexed="64"/>
      </patternFill>
    </fill>
    <fill>
      <patternFill patternType="solid">
        <fgColor rgb="FFFFF2CC"/>
        <bgColor indexed="64"/>
      </patternFill>
    </fill>
    <fill>
      <patternFill patternType="solid">
        <fgColor rgb="FFFFFFFF"/>
        <bgColor indexed="64"/>
      </patternFill>
    </fill>
    <fill>
      <patternFill patternType="solid">
        <fgColor theme="5" tint="0.59999389629810485"/>
        <bgColor indexed="64"/>
      </patternFill>
    </fill>
    <fill>
      <patternFill patternType="solid">
        <fgColor rgb="FFFFEFFF"/>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ck">
        <color indexed="64"/>
      </left>
      <right/>
      <top/>
      <bottom/>
      <diagonal/>
    </border>
    <border>
      <left/>
      <right style="medium">
        <color indexed="64"/>
      </right>
      <top style="medium">
        <color indexed="64"/>
      </top>
      <bottom style="medium">
        <color indexed="64"/>
      </bottom>
      <diagonal/>
    </border>
  </borders>
  <cellStyleXfs count="5">
    <xf numFmtId="0" fontId="0" fillId="0" borderId="0"/>
    <xf numFmtId="9" fontId="2" fillId="0" borderId="0" applyFont="0" applyFill="0" applyBorder="0" applyAlignment="0" applyProtection="0"/>
    <xf numFmtId="0" fontId="10" fillId="0" borderId="0"/>
    <xf numFmtId="0" fontId="10" fillId="0" borderId="0"/>
    <xf numFmtId="0" fontId="13" fillId="0" borderId="0" applyNumberFormat="0" applyFill="0" applyBorder="0" applyAlignment="0" applyProtection="0"/>
  </cellStyleXfs>
  <cellXfs count="448">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4" fillId="2" borderId="0" xfId="0" applyFont="1" applyFill="1"/>
    <xf numFmtId="0" fontId="0" fillId="2" borderId="0" xfId="0" applyFill="1" applyAlignment="1">
      <alignment horizontal="center" wrapText="1"/>
    </xf>
    <xf numFmtId="0" fontId="0" fillId="2" borderId="0" xfId="0" applyFill="1" applyAlignment="1">
      <alignment vertical="center"/>
    </xf>
    <xf numFmtId="2" fontId="0" fillId="0" borderId="0" xfId="0" applyNumberFormat="1"/>
    <xf numFmtId="164" fontId="0" fillId="0" borderId="0" xfId="0" applyNumberFormat="1"/>
    <xf numFmtId="0" fontId="0" fillId="0" borderId="0" xfId="0" applyAlignment="1">
      <alignment horizontal="center" vertical="center"/>
    </xf>
    <xf numFmtId="9" fontId="3" fillId="0" borderId="0" xfId="1" applyFont="1"/>
    <xf numFmtId="0" fontId="0" fillId="0" borderId="5" xfId="0" applyBorder="1"/>
    <xf numFmtId="0" fontId="0" fillId="0" borderId="8" xfId="0" applyBorder="1"/>
    <xf numFmtId="2" fontId="3" fillId="0" borderId="0" xfId="0" applyNumberFormat="1" applyFont="1" applyAlignment="1">
      <alignment horizontal="center" vertical="center"/>
    </xf>
    <xf numFmtId="0" fontId="5" fillId="0" borderId="0" xfId="0" applyFont="1"/>
    <xf numFmtId="0" fontId="0" fillId="0" borderId="0" xfId="0" applyAlignment="1">
      <alignment horizontal="center"/>
    </xf>
    <xf numFmtId="0" fontId="6" fillId="0" borderId="0" xfId="0" applyFont="1" applyAlignment="1">
      <alignment horizontal="right" vertical="center"/>
    </xf>
    <xf numFmtId="0" fontId="0" fillId="0" borderId="0" xfId="0" applyAlignment="1">
      <alignment vertical="center"/>
    </xf>
    <xf numFmtId="0" fontId="3" fillId="0" borderId="0" xfId="0" applyFont="1"/>
    <xf numFmtId="0" fontId="6" fillId="0" borderId="0" xfId="0" applyFont="1" applyAlignment="1">
      <alignment horizontal="right" wrapText="1"/>
    </xf>
    <xf numFmtId="0" fontId="6" fillId="0" borderId="0" xfId="0" applyFont="1" applyAlignment="1">
      <alignment horizontal="right"/>
    </xf>
    <xf numFmtId="0" fontId="7" fillId="0" borderId="0" xfId="0" applyFont="1" applyAlignment="1">
      <alignment horizontal="right" vertical="center"/>
    </xf>
    <xf numFmtId="0" fontId="8" fillId="0" borderId="0" xfId="0" applyFont="1" applyAlignment="1">
      <alignment horizontal="left" vertical="center" wrapText="1"/>
    </xf>
    <xf numFmtId="0" fontId="6" fillId="0" borderId="0" xfId="0" applyFont="1" applyAlignment="1">
      <alignment horizontal="right" vertical="center" wrapText="1"/>
    </xf>
    <xf numFmtId="9" fontId="0" fillId="0" borderId="0" xfId="0" applyNumberFormat="1"/>
    <xf numFmtId="0" fontId="0" fillId="2" borderId="2" xfId="0" applyFill="1" applyBorder="1" applyAlignment="1">
      <alignment vertical="center"/>
    </xf>
    <xf numFmtId="0" fontId="0" fillId="0" borderId="4" xfId="0" applyBorder="1"/>
    <xf numFmtId="0" fontId="0" fillId="2" borderId="0" xfId="0" applyFill="1" applyAlignment="1">
      <alignment horizontal="center" vertical="center"/>
    </xf>
    <xf numFmtId="0" fontId="0" fillId="0" borderId="7" xfId="0" applyBorder="1"/>
    <xf numFmtId="0" fontId="9" fillId="2" borderId="0" xfId="0" applyFont="1" applyFill="1" applyAlignment="1">
      <alignment vertical="center"/>
    </xf>
    <xf numFmtId="0" fontId="14" fillId="2" borderId="0" xfId="0" applyFont="1" applyFill="1" applyAlignment="1">
      <alignment vertical="center"/>
    </xf>
    <xf numFmtId="0" fontId="16" fillId="2" borderId="0" xfId="0" applyFont="1" applyFill="1" applyAlignment="1">
      <alignment vertical="center"/>
    </xf>
    <xf numFmtId="0" fontId="15" fillId="2" borderId="0" xfId="0" applyFont="1" applyFill="1" applyAlignment="1">
      <alignment vertical="center"/>
    </xf>
    <xf numFmtId="0" fontId="16" fillId="0" borderId="0" xfId="0" applyFont="1"/>
    <xf numFmtId="0" fontId="16" fillId="2" borderId="0" xfId="0" applyFont="1" applyFill="1" applyAlignment="1">
      <alignment vertical="center" wrapText="1"/>
    </xf>
    <xf numFmtId="0" fontId="21" fillId="2" borderId="0" xfId="0" applyFont="1" applyFill="1" applyAlignment="1">
      <alignment vertical="center"/>
    </xf>
    <xf numFmtId="0" fontId="20" fillId="2" borderId="0" xfId="0" applyFont="1" applyFill="1" applyAlignment="1">
      <alignment vertical="center"/>
    </xf>
    <xf numFmtId="0" fontId="19" fillId="31" borderId="0" xfId="0" applyFont="1" applyFill="1" applyAlignment="1">
      <alignment horizontal="left" vertical="center"/>
    </xf>
    <xf numFmtId="0" fontId="20" fillId="2" borderId="0" xfId="0" applyFont="1" applyFill="1" applyAlignment="1">
      <alignment horizontal="left" vertical="center"/>
    </xf>
    <xf numFmtId="0" fontId="20" fillId="2" borderId="0" xfId="0" applyFont="1" applyFill="1" applyAlignment="1">
      <alignment vertical="center" wrapText="1"/>
    </xf>
    <xf numFmtId="0" fontId="20" fillId="2" borderId="0" xfId="0" applyFont="1" applyFill="1" applyAlignment="1">
      <alignment horizontal="left" vertical="center" wrapText="1"/>
    </xf>
    <xf numFmtId="0" fontId="19" fillId="7" borderId="0" xfId="0" applyFont="1" applyFill="1" applyAlignment="1">
      <alignment horizontal="left" vertical="center" wrapText="1"/>
    </xf>
    <xf numFmtId="0" fontId="19" fillId="5" borderId="0" xfId="0" applyFont="1" applyFill="1" applyAlignment="1">
      <alignment horizontal="left" vertical="center" wrapText="1"/>
    </xf>
    <xf numFmtId="0" fontId="19" fillId="8" borderId="0" xfId="0" applyFont="1" applyFill="1" applyAlignment="1">
      <alignment horizontal="left" vertical="center" wrapText="1"/>
    </xf>
    <xf numFmtId="0" fontId="19" fillId="6" borderId="0" xfId="0" applyFont="1" applyFill="1" applyAlignment="1">
      <alignment horizontal="left" vertical="center" wrapText="1"/>
    </xf>
    <xf numFmtId="0" fontId="19" fillId="9" borderId="0" xfId="0" applyFont="1" applyFill="1" applyAlignment="1">
      <alignment horizontal="left" vertical="center" wrapText="1"/>
    </xf>
    <xf numFmtId="0" fontId="19" fillId="12" borderId="0" xfId="0" applyFont="1" applyFill="1" applyAlignment="1">
      <alignment horizontal="left" vertical="center" wrapText="1"/>
    </xf>
    <xf numFmtId="0" fontId="19" fillId="10" borderId="0" xfId="0" applyFont="1" applyFill="1" applyAlignment="1">
      <alignment horizontal="left" vertical="center" wrapText="1"/>
    </xf>
    <xf numFmtId="0" fontId="19" fillId="13" borderId="0" xfId="0" applyFont="1" applyFill="1" applyAlignment="1">
      <alignment horizontal="left" vertical="center" wrapText="1"/>
    </xf>
    <xf numFmtId="0" fontId="19" fillId="11" borderId="0" xfId="0" applyFont="1" applyFill="1" applyAlignment="1">
      <alignment horizontal="left" vertical="center" wrapText="1"/>
    </xf>
    <xf numFmtId="0" fontId="19" fillId="18" borderId="0" xfId="0" applyFont="1" applyFill="1" applyAlignment="1">
      <alignment horizontal="left" vertical="center" wrapText="1"/>
    </xf>
    <xf numFmtId="0" fontId="19" fillId="19" borderId="0" xfId="0" applyFont="1" applyFill="1" applyAlignment="1">
      <alignment horizontal="left" vertical="center" wrapText="1"/>
    </xf>
    <xf numFmtId="0" fontId="19" fillId="14" borderId="0" xfId="0" applyFont="1" applyFill="1" applyAlignment="1">
      <alignment horizontal="left" vertical="center" wrapText="1"/>
    </xf>
    <xf numFmtId="0" fontId="19" fillId="20" borderId="0" xfId="0" applyFont="1" applyFill="1" applyAlignment="1">
      <alignment horizontal="left" vertical="center" wrapText="1"/>
    </xf>
    <xf numFmtId="0" fontId="19" fillId="15" borderId="0" xfId="0" applyFont="1" applyFill="1" applyAlignment="1">
      <alignment horizontal="left" vertical="center" wrapText="1"/>
    </xf>
    <xf numFmtId="0" fontId="19" fillId="21" borderId="0" xfId="0" applyFont="1" applyFill="1" applyAlignment="1">
      <alignment horizontal="left" vertical="center" wrapText="1"/>
    </xf>
    <xf numFmtId="0" fontId="19" fillId="16" borderId="0" xfId="0" applyFont="1" applyFill="1" applyAlignment="1">
      <alignment horizontal="left" vertical="center" wrapText="1"/>
    </xf>
    <xf numFmtId="0" fontId="19" fillId="22" borderId="0" xfId="0" applyFont="1" applyFill="1" applyAlignment="1">
      <alignment horizontal="left" vertical="center" wrapText="1"/>
    </xf>
    <xf numFmtId="0" fontId="19" fillId="17" borderId="0" xfId="0" applyFont="1" applyFill="1" applyAlignment="1">
      <alignment horizontal="left" vertical="center" wrapText="1"/>
    </xf>
    <xf numFmtId="0" fontId="19" fillId="23" borderId="0" xfId="0" applyFont="1" applyFill="1" applyAlignment="1">
      <alignment horizontal="left" vertical="center" wrapText="1"/>
    </xf>
    <xf numFmtId="0" fontId="19" fillId="24" borderId="0" xfId="0" applyFont="1" applyFill="1" applyAlignment="1">
      <alignment horizontal="left" vertical="center" wrapText="1"/>
    </xf>
    <xf numFmtId="0" fontId="19" fillId="25" borderId="0" xfId="0" applyFont="1" applyFill="1" applyAlignment="1">
      <alignment horizontal="left" vertical="center" wrapText="1"/>
    </xf>
    <xf numFmtId="0" fontId="19" fillId="26" borderId="0" xfId="0" applyFont="1" applyFill="1" applyAlignment="1">
      <alignment horizontal="left" vertical="center" wrapText="1"/>
    </xf>
    <xf numFmtId="0" fontId="19" fillId="27" borderId="0" xfId="0" applyFont="1" applyFill="1" applyAlignment="1">
      <alignment horizontal="left" vertical="center" wrapText="1"/>
    </xf>
    <xf numFmtId="0" fontId="19" fillId="28" borderId="0" xfId="0" applyFont="1" applyFill="1" applyAlignment="1">
      <alignment horizontal="left" vertical="center" wrapText="1"/>
    </xf>
    <xf numFmtId="0" fontId="19" fillId="29" borderId="0" xfId="0" applyFont="1" applyFill="1" applyAlignment="1">
      <alignment horizontal="left" vertical="center" wrapText="1"/>
    </xf>
    <xf numFmtId="0" fontId="19" fillId="30" borderId="0" xfId="0" applyFont="1" applyFill="1" applyAlignment="1">
      <alignment horizontal="left" vertical="center" wrapText="1"/>
    </xf>
    <xf numFmtId="0" fontId="24" fillId="2" borderId="0" xfId="0" applyFont="1" applyFill="1" applyAlignment="1">
      <alignment vertical="center"/>
    </xf>
    <xf numFmtId="0" fontId="15" fillId="2" borderId="0" xfId="0" applyFont="1" applyFill="1"/>
    <xf numFmtId="0" fontId="16" fillId="2" borderId="0" xfId="0" applyFont="1" applyFill="1"/>
    <xf numFmtId="0" fontId="16" fillId="2" borderId="0" xfId="0" applyFont="1" applyFill="1" applyAlignment="1">
      <alignment horizontal="center"/>
    </xf>
    <xf numFmtId="0" fontId="15" fillId="2" borderId="9" xfId="0" applyFont="1" applyFill="1" applyBorder="1" applyProtection="1">
      <protection locked="0"/>
    </xf>
    <xf numFmtId="0" fontId="16" fillId="3" borderId="0" xfId="0" applyFont="1" applyFill="1"/>
    <xf numFmtId="0" fontId="16" fillId="2" borderId="1" xfId="0" applyFont="1" applyFill="1" applyBorder="1"/>
    <xf numFmtId="0" fontId="16" fillId="2" borderId="2" xfId="0" applyFont="1" applyFill="1" applyBorder="1"/>
    <xf numFmtId="0" fontId="16" fillId="2" borderId="3" xfId="0" applyFont="1" applyFill="1" applyBorder="1"/>
    <xf numFmtId="0" fontId="16" fillId="2" borderId="4" xfId="0" applyFont="1" applyFill="1" applyBorder="1"/>
    <xf numFmtId="0" fontId="16" fillId="2" borderId="5" xfId="0" applyFont="1" applyFill="1" applyBorder="1"/>
    <xf numFmtId="0" fontId="18" fillId="2" borderId="0" xfId="0" applyFont="1" applyFill="1" applyAlignment="1">
      <alignment vertical="center"/>
    </xf>
    <xf numFmtId="49" fontId="27" fillId="2" borderId="0" xfId="0" applyNumberFormat="1" applyFont="1" applyFill="1" applyAlignment="1">
      <alignment vertical="center"/>
    </xf>
    <xf numFmtId="0" fontId="28" fillId="2" borderId="0" xfId="0" applyFont="1" applyFill="1" applyAlignment="1">
      <alignment horizontal="right" vertical="center"/>
    </xf>
    <xf numFmtId="0" fontId="16" fillId="31" borderId="0" xfId="0" applyFont="1" applyFill="1" applyAlignment="1">
      <alignment horizontal="center" vertical="center"/>
    </xf>
    <xf numFmtId="0" fontId="16" fillId="3" borderId="0" xfId="0" applyFont="1" applyFill="1" applyAlignment="1">
      <alignment horizontal="center" vertical="center"/>
    </xf>
    <xf numFmtId="0" fontId="29" fillId="2" borderId="0" xfId="0" applyFont="1" applyFill="1" applyAlignment="1">
      <alignment vertical="center"/>
    </xf>
    <xf numFmtId="0" fontId="30" fillId="2" borderId="0" xfId="0" applyFont="1" applyFill="1" applyAlignment="1">
      <alignment horizontal="right" vertical="center"/>
    </xf>
    <xf numFmtId="0" fontId="16" fillId="3" borderId="7" xfId="0" applyFont="1" applyFill="1" applyBorder="1"/>
    <xf numFmtId="0" fontId="16" fillId="3" borderId="8" xfId="0" applyFont="1" applyFill="1" applyBorder="1"/>
    <xf numFmtId="0" fontId="25" fillId="2" borderId="0" xfId="0" applyFont="1" applyFill="1" applyAlignment="1">
      <alignment vertical="center" wrapText="1"/>
    </xf>
    <xf numFmtId="0" fontId="25" fillId="2" borderId="0" xfId="0" applyFont="1" applyFill="1" applyAlignment="1">
      <alignment vertical="top" wrapText="1"/>
    </xf>
    <xf numFmtId="0" fontId="16" fillId="3" borderId="7" xfId="0" applyFont="1" applyFill="1" applyBorder="1" applyAlignment="1">
      <alignment horizontal="center" vertical="center"/>
    </xf>
    <xf numFmtId="0" fontId="16" fillId="2" borderId="17" xfId="0" applyFont="1" applyFill="1" applyBorder="1" applyAlignment="1">
      <alignment vertical="center"/>
    </xf>
    <xf numFmtId="0" fontId="16" fillId="2" borderId="19" xfId="0" applyFont="1" applyFill="1" applyBorder="1" applyAlignment="1">
      <alignment vertical="center"/>
    </xf>
    <xf numFmtId="0" fontId="16" fillId="0" borderId="0" xfId="0" applyFont="1" applyAlignment="1">
      <alignment vertical="center"/>
    </xf>
    <xf numFmtId="0" fontId="27" fillId="2" borderId="0" xfId="0" applyFont="1" applyFill="1" applyAlignment="1">
      <alignment vertical="center"/>
    </xf>
    <xf numFmtId="2" fontId="15" fillId="31" borderId="0" xfId="0" applyNumberFormat="1" applyFont="1" applyFill="1" applyAlignment="1">
      <alignment horizontal="center" vertical="center"/>
    </xf>
    <xf numFmtId="0" fontId="16" fillId="2" borderId="14" xfId="0" applyFont="1" applyFill="1" applyBorder="1" applyAlignment="1">
      <alignment vertical="center"/>
    </xf>
    <xf numFmtId="2" fontId="16" fillId="31" borderId="0" xfId="0" applyNumberFormat="1" applyFont="1" applyFill="1" applyAlignment="1">
      <alignment horizontal="center" vertical="center"/>
    </xf>
    <xf numFmtId="1" fontId="16" fillId="2" borderId="0" xfId="0" applyNumberFormat="1" applyFont="1" applyFill="1" applyAlignment="1">
      <alignment vertical="center"/>
    </xf>
    <xf numFmtId="0" fontId="16" fillId="2" borderId="6" xfId="0" applyFont="1" applyFill="1" applyBorder="1"/>
    <xf numFmtId="0" fontId="16" fillId="2" borderId="7" xfId="0" applyFont="1" applyFill="1" applyBorder="1"/>
    <xf numFmtId="0" fontId="16" fillId="2" borderId="8" xfId="0" applyFont="1" applyFill="1" applyBorder="1"/>
    <xf numFmtId="0" fontId="16" fillId="2" borderId="14" xfId="0" applyFont="1" applyFill="1" applyBorder="1"/>
    <xf numFmtId="0" fontId="16" fillId="2" borderId="0" xfId="0" applyFont="1" applyFill="1" applyAlignment="1">
      <alignment wrapText="1"/>
    </xf>
    <xf numFmtId="0" fontId="16" fillId="2" borderId="0" xfId="0" applyFont="1" applyFill="1" applyAlignment="1">
      <alignment horizontal="center" wrapText="1"/>
    </xf>
    <xf numFmtId="0" fontId="25" fillId="2" borderId="14" xfId="0" applyFont="1" applyFill="1" applyBorder="1" applyAlignment="1">
      <alignment horizontal="left" vertical="center" wrapText="1"/>
    </xf>
    <xf numFmtId="0" fontId="18" fillId="2" borderId="0" xfId="0" applyFont="1" applyFill="1"/>
    <xf numFmtId="166" fontId="15" fillId="31" borderId="0" xfId="0" applyNumberFormat="1" applyFont="1" applyFill="1" applyAlignment="1">
      <alignment horizontal="center" vertical="center"/>
    </xf>
    <xf numFmtId="0" fontId="16" fillId="2" borderId="7" xfId="0" applyFont="1" applyFill="1" applyBorder="1" applyAlignment="1">
      <alignment vertical="center"/>
    </xf>
    <xf numFmtId="0" fontId="15" fillId="2" borderId="0" xfId="0" applyFont="1" applyFill="1" applyAlignment="1">
      <alignment horizontal="center" vertical="center" wrapText="1"/>
    </xf>
    <xf numFmtId="2" fontId="15" fillId="2" borderId="0" xfId="0" applyNumberFormat="1" applyFont="1" applyFill="1" applyAlignment="1">
      <alignment horizontal="center" vertical="center"/>
    </xf>
    <xf numFmtId="0" fontId="25" fillId="2" borderId="0" xfId="0" applyFont="1" applyFill="1" applyAlignment="1">
      <alignment horizontal="left" vertical="center"/>
    </xf>
    <xf numFmtId="2" fontId="16" fillId="2" borderId="0" xfId="0" applyNumberFormat="1" applyFont="1" applyFill="1" applyAlignment="1">
      <alignment horizontal="center"/>
    </xf>
    <xf numFmtId="0" fontId="16" fillId="2" borderId="0" xfId="0" applyFont="1" applyFill="1" applyAlignment="1">
      <alignment horizontal="right"/>
    </xf>
    <xf numFmtId="0" fontId="15" fillId="2" borderId="0" xfId="0" applyFont="1" applyFill="1" applyAlignment="1">
      <alignment horizontal="right"/>
    </xf>
    <xf numFmtId="2" fontId="16" fillId="2" borderId="0" xfId="0" applyNumberFormat="1" applyFont="1" applyFill="1"/>
    <xf numFmtId="2" fontId="16" fillId="0" borderId="0" xfId="0" applyNumberFormat="1" applyFont="1" applyAlignment="1">
      <alignment horizontal="center"/>
    </xf>
    <xf numFmtId="2" fontId="16" fillId="2" borderId="7" xfId="0" applyNumberFormat="1" applyFont="1" applyFill="1" applyBorder="1"/>
    <xf numFmtId="1" fontId="16" fillId="31" borderId="0" xfId="0" applyNumberFormat="1" applyFont="1" applyFill="1" applyAlignment="1">
      <alignment vertical="center"/>
    </xf>
    <xf numFmtId="2" fontId="16" fillId="31" borderId="0" xfId="0" applyNumberFormat="1" applyFont="1" applyFill="1" applyAlignment="1">
      <alignment vertical="center"/>
    </xf>
    <xf numFmtId="165" fontId="15" fillId="31" borderId="0" xfId="0" applyNumberFormat="1" applyFont="1" applyFill="1" applyAlignment="1">
      <alignment vertical="center"/>
    </xf>
    <xf numFmtId="9" fontId="15" fillId="2" borderId="0" xfId="0" applyNumberFormat="1" applyFont="1" applyFill="1"/>
    <xf numFmtId="9" fontId="15" fillId="2" borderId="0" xfId="1" applyFont="1" applyFill="1" applyBorder="1"/>
    <xf numFmtId="0" fontId="16" fillId="31" borderId="0" xfId="0" applyFont="1" applyFill="1"/>
    <xf numFmtId="2" fontId="16" fillId="31" borderId="5" xfId="0" applyNumberFormat="1" applyFont="1" applyFill="1" applyBorder="1" applyAlignment="1">
      <alignment horizontal="center"/>
    </xf>
    <xf numFmtId="164" fontId="16" fillId="31" borderId="5" xfId="0" applyNumberFormat="1" applyFont="1" applyFill="1" applyBorder="1" applyAlignment="1">
      <alignment horizontal="center"/>
    </xf>
    <xf numFmtId="2" fontId="16" fillId="31" borderId="0" xfId="0" applyNumberFormat="1" applyFont="1" applyFill="1"/>
    <xf numFmtId="2" fontId="16" fillId="31" borderId="5" xfId="0" applyNumberFormat="1" applyFont="1" applyFill="1" applyBorder="1" applyAlignment="1">
      <alignment horizontal="center" vertical="center"/>
    </xf>
    <xf numFmtId="0" fontId="16" fillId="2" borderId="22" xfId="0" applyFont="1" applyFill="1" applyBorder="1"/>
    <xf numFmtId="0" fontId="16" fillId="2" borderId="23" xfId="0" applyFont="1" applyFill="1" applyBorder="1" applyAlignment="1">
      <alignment vertical="center"/>
    </xf>
    <xf numFmtId="0" fontId="27" fillId="0" borderId="0" xfId="0" applyFont="1" applyAlignment="1">
      <alignment vertical="center"/>
    </xf>
    <xf numFmtId="49" fontId="27" fillId="2" borderId="0" xfId="0" applyNumberFormat="1" applyFont="1" applyFill="1" applyAlignment="1">
      <alignment horizontal="right" vertical="center"/>
    </xf>
    <xf numFmtId="0" fontId="16" fillId="2" borderId="19" xfId="0" applyFont="1" applyFill="1" applyBorder="1"/>
    <xf numFmtId="0" fontId="16" fillId="2" borderId="24" xfId="0" applyFont="1" applyFill="1" applyBorder="1" applyAlignment="1">
      <alignment vertical="center"/>
    </xf>
    <xf numFmtId="0" fontId="16" fillId="2" borderId="5" xfId="0" applyFont="1" applyFill="1" applyBorder="1" applyAlignment="1">
      <alignment vertical="center"/>
    </xf>
    <xf numFmtId="0" fontId="16" fillId="2" borderId="0" xfId="0" applyFont="1" applyFill="1" applyAlignment="1">
      <alignment horizontal="right" vertical="center"/>
    </xf>
    <xf numFmtId="2" fontId="16" fillId="2" borderId="0" xfId="0" applyNumberFormat="1" applyFont="1" applyFill="1" applyAlignment="1">
      <alignment horizontal="center" vertical="center"/>
    </xf>
    <xf numFmtId="2" fontId="28" fillId="2" borderId="0" xfId="0" applyNumberFormat="1" applyFont="1" applyFill="1" applyAlignment="1">
      <alignment horizontal="right" vertical="center"/>
    </xf>
    <xf numFmtId="2" fontId="16" fillId="2" borderId="0" xfId="0" applyNumberFormat="1" applyFont="1" applyFill="1" applyAlignment="1">
      <alignment vertical="center"/>
    </xf>
    <xf numFmtId="0" fontId="16" fillId="0" borderId="8" xfId="0" applyFont="1" applyBorder="1" applyAlignment="1">
      <alignment vertical="center"/>
    </xf>
    <xf numFmtId="166" fontId="16" fillId="31" borderId="0" xfId="0" applyNumberFormat="1" applyFont="1" applyFill="1" applyAlignment="1">
      <alignment horizontal="center" vertical="center"/>
    </xf>
    <xf numFmtId="0" fontId="16" fillId="3" borderId="6" xfId="0" applyFont="1" applyFill="1" applyBorder="1"/>
    <xf numFmtId="0" fontId="16" fillId="3" borderId="0" xfId="0" applyFont="1" applyFill="1" applyAlignment="1">
      <alignment vertical="center"/>
    </xf>
    <xf numFmtId="2" fontId="16" fillId="3" borderId="0" xfId="0" applyNumberFormat="1" applyFont="1" applyFill="1" applyAlignment="1">
      <alignment vertical="center"/>
    </xf>
    <xf numFmtId="0" fontId="16" fillId="2" borderId="2" xfId="0" applyFont="1" applyFill="1" applyBorder="1" applyAlignment="1">
      <alignment vertical="center"/>
    </xf>
    <xf numFmtId="0" fontId="27" fillId="2" borderId="0" xfId="0" applyFont="1" applyFill="1" applyAlignment="1">
      <alignment vertical="center" wrapText="1"/>
    </xf>
    <xf numFmtId="0" fontId="25" fillId="2" borderId="0" xfId="0" applyFont="1" applyFill="1" applyAlignment="1">
      <alignment horizontal="center" vertical="center" wrapText="1"/>
    </xf>
    <xf numFmtId="166" fontId="16" fillId="31" borderId="0" xfId="0" applyNumberFormat="1" applyFont="1" applyFill="1" applyAlignment="1">
      <alignment horizontal="center" vertical="center" wrapText="1"/>
    </xf>
    <xf numFmtId="0" fontId="16" fillId="32" borderId="0" xfId="0" applyFont="1" applyFill="1"/>
    <xf numFmtId="0" fontId="19" fillId="2" borderId="0" xfId="0" applyFont="1" applyFill="1" applyAlignment="1">
      <alignment horizontal="center" vertical="center"/>
    </xf>
    <xf numFmtId="0" fontId="19" fillId="0" borderId="0" xfId="0" applyFont="1" applyAlignment="1">
      <alignment vertical="center"/>
    </xf>
    <xf numFmtId="0" fontId="21" fillId="0" borderId="0" xfId="0" applyFont="1"/>
    <xf numFmtId="0" fontId="19" fillId="2" borderId="5" xfId="0" applyFont="1" applyFill="1" applyBorder="1" applyAlignment="1">
      <alignment vertical="center"/>
    </xf>
    <xf numFmtId="0" fontId="19" fillId="4" borderId="0" xfId="0" applyFont="1" applyFill="1" applyAlignment="1">
      <alignment vertical="center"/>
    </xf>
    <xf numFmtId="0" fontId="19" fillId="0" borderId="0" xfId="0" applyFont="1"/>
    <xf numFmtId="0" fontId="16" fillId="33" borderId="0" xfId="0" applyFont="1" applyFill="1" applyAlignment="1" applyProtection="1">
      <alignment horizontal="center" vertical="center" wrapText="1"/>
      <protection locked="0"/>
    </xf>
    <xf numFmtId="1" fontId="15" fillId="2" borderId="0" xfId="0" applyNumberFormat="1" applyFont="1" applyFill="1" applyAlignment="1">
      <alignment horizontal="center" vertical="center"/>
    </xf>
    <xf numFmtId="0" fontId="15" fillId="2" borderId="19" xfId="0" applyFont="1" applyFill="1" applyBorder="1" applyAlignment="1">
      <alignment horizontal="left" vertical="center" wrapText="1"/>
    </xf>
    <xf numFmtId="1" fontId="15" fillId="2" borderId="19" xfId="0" applyNumberFormat="1" applyFont="1" applyFill="1" applyBorder="1" applyAlignment="1">
      <alignment horizontal="center" vertical="center"/>
    </xf>
    <xf numFmtId="0" fontId="30" fillId="2" borderId="19" xfId="0" applyFont="1" applyFill="1" applyBorder="1" applyAlignment="1">
      <alignment horizontal="right" vertical="center"/>
    </xf>
    <xf numFmtId="1" fontId="16" fillId="33" borderId="0" xfId="0" applyNumberFormat="1" applyFont="1" applyFill="1" applyAlignment="1" applyProtection="1">
      <alignment horizontal="center" vertical="center"/>
      <protection locked="0"/>
    </xf>
    <xf numFmtId="2" fontId="16" fillId="34" borderId="0" xfId="0" applyNumberFormat="1" applyFont="1" applyFill="1" applyAlignment="1">
      <alignment horizontal="center" vertical="center" wrapText="1"/>
    </xf>
    <xf numFmtId="0" fontId="16" fillId="33" borderId="0" xfId="0" applyFont="1" applyFill="1" applyAlignment="1" applyProtection="1">
      <alignment vertical="center"/>
      <protection locked="0"/>
    </xf>
    <xf numFmtId="166" fontId="16" fillId="33" borderId="0" xfId="0" applyNumberFormat="1" applyFont="1" applyFill="1" applyAlignment="1" applyProtection="1">
      <alignment horizontal="center" vertical="center"/>
      <protection locked="0"/>
    </xf>
    <xf numFmtId="0" fontId="12" fillId="0" borderId="0" xfId="0" applyFont="1" applyAlignment="1">
      <alignment wrapText="1"/>
    </xf>
    <xf numFmtId="0" fontId="16" fillId="35" borderId="0" xfId="0" applyFont="1" applyFill="1" applyAlignment="1">
      <alignment vertical="center"/>
    </xf>
    <xf numFmtId="2" fontId="16" fillId="34" borderId="0" xfId="0" applyNumberFormat="1" applyFont="1" applyFill="1" applyAlignment="1">
      <alignment vertical="center"/>
    </xf>
    <xf numFmtId="0" fontId="16" fillId="2" borderId="0" xfId="0" applyFont="1" applyFill="1" applyAlignment="1" applyProtection="1">
      <alignment horizontal="center" vertical="center"/>
      <protection locked="0"/>
    </xf>
    <xf numFmtId="2" fontId="16" fillId="35" borderId="0" xfId="0" applyNumberFormat="1" applyFont="1" applyFill="1" applyAlignment="1">
      <alignment vertical="center"/>
    </xf>
    <xf numFmtId="0" fontId="15" fillId="0" borderId="0" xfId="0" applyFont="1"/>
    <xf numFmtId="0" fontId="16" fillId="0" borderId="0" xfId="0" applyFont="1" applyAlignment="1">
      <alignment horizontal="center" wrapText="1"/>
    </xf>
    <xf numFmtId="0" fontId="16" fillId="0" borderId="21" xfId="0" applyFont="1" applyBorder="1" applyAlignment="1">
      <alignment wrapText="1"/>
    </xf>
    <xf numFmtId="0" fontId="16" fillId="0" borderId="0" xfId="0" applyFont="1" applyAlignment="1">
      <alignment wrapText="1"/>
    </xf>
    <xf numFmtId="0" fontId="15" fillId="0" borderId="0" xfId="0" applyFont="1" applyAlignment="1">
      <alignment wrapText="1"/>
    </xf>
    <xf numFmtId="0" fontId="16" fillId="2" borderId="17" xfId="0" applyFont="1" applyFill="1" applyBorder="1"/>
    <xf numFmtId="0" fontId="35" fillId="0" borderId="0" xfId="0" applyFont="1"/>
    <xf numFmtId="2" fontId="16" fillId="0" borderId="0" xfId="0" applyNumberFormat="1" applyFont="1"/>
    <xf numFmtId="0" fontId="15" fillId="0" borderId="20" xfId="0" applyFont="1" applyBorder="1"/>
    <xf numFmtId="0" fontId="15" fillId="0" borderId="18" xfId="0" applyFont="1" applyBorder="1"/>
    <xf numFmtId="0" fontId="16" fillId="0" borderId="12" xfId="0" applyFont="1" applyBorder="1"/>
    <xf numFmtId="0" fontId="16" fillId="0" borderId="15" xfId="0" applyFont="1" applyBorder="1"/>
    <xf numFmtId="2" fontId="15" fillId="34" borderId="0" xfId="0" applyNumberFormat="1" applyFont="1" applyFill="1" applyAlignment="1">
      <alignment horizontal="center" vertical="center"/>
    </xf>
    <xf numFmtId="2" fontId="16" fillId="34" borderId="0" xfId="0" applyNumberFormat="1" applyFont="1" applyFill="1"/>
    <xf numFmtId="0" fontId="15" fillId="2" borderId="7" xfId="0" applyFont="1" applyFill="1" applyBorder="1" applyAlignment="1">
      <alignment horizontal="left" vertical="center"/>
    </xf>
    <xf numFmtId="2" fontId="15" fillId="35" borderId="0" xfId="0" applyNumberFormat="1" applyFont="1" applyFill="1" applyAlignment="1">
      <alignment horizontal="center" vertical="center"/>
    </xf>
    <xf numFmtId="2" fontId="15" fillId="0" borderId="0" xfId="0" applyNumberFormat="1" applyFont="1" applyAlignment="1">
      <alignment horizontal="center" vertical="center"/>
    </xf>
    <xf numFmtId="2" fontId="16" fillId="2" borderId="5" xfId="0" applyNumberFormat="1" applyFont="1" applyFill="1" applyBorder="1" applyAlignment="1">
      <alignment horizontal="center"/>
    </xf>
    <xf numFmtId="2" fontId="15" fillId="2" borderId="0" xfId="0" applyNumberFormat="1" applyFont="1" applyFill="1" applyAlignment="1">
      <alignment vertical="center"/>
    </xf>
    <xf numFmtId="166" fontId="16" fillId="2" borderId="0" xfId="0" applyNumberFormat="1" applyFont="1" applyFill="1" applyAlignment="1">
      <alignment horizontal="center" vertical="center"/>
    </xf>
    <xf numFmtId="166" fontId="15" fillId="2" borderId="0" xfId="0" applyNumberFormat="1" applyFont="1" applyFill="1" applyAlignment="1">
      <alignment horizontal="center" vertical="center"/>
    </xf>
    <xf numFmtId="2" fontId="16" fillId="33" borderId="0" xfId="0" applyNumberFormat="1" applyFont="1" applyFill="1" applyAlignment="1" applyProtection="1">
      <alignment horizontal="center" vertical="center"/>
      <protection locked="0"/>
    </xf>
    <xf numFmtId="166" fontId="15" fillId="34" borderId="0" xfId="0" applyNumberFormat="1" applyFont="1" applyFill="1" applyAlignment="1">
      <alignment horizontal="center" vertical="center"/>
    </xf>
    <xf numFmtId="0" fontId="19" fillId="33" borderId="0" xfId="0" applyFont="1" applyFill="1" applyAlignment="1">
      <alignment horizontal="left" vertical="center"/>
    </xf>
    <xf numFmtId="2" fontId="0" fillId="0" borderId="0" xfId="0" applyNumberFormat="1" applyAlignment="1">
      <alignment wrapText="1"/>
    </xf>
    <xf numFmtId="2" fontId="16" fillId="0" borderId="0" xfId="0" applyNumberFormat="1" applyFont="1" applyAlignment="1">
      <alignment vertical="center"/>
    </xf>
    <xf numFmtId="2" fontId="15" fillId="31" borderId="0" xfId="0" applyNumberFormat="1" applyFont="1" applyFill="1" applyAlignment="1">
      <alignment horizontal="center" vertical="center" wrapText="1"/>
    </xf>
    <xf numFmtId="0" fontId="15" fillId="0" borderId="28" xfId="0" applyFont="1" applyBorder="1" applyAlignment="1">
      <alignment wrapText="1"/>
    </xf>
    <xf numFmtId="0" fontId="16" fillId="0" borderId="29" xfId="0" applyFont="1" applyBorder="1"/>
    <xf numFmtId="0" fontId="16" fillId="0" borderId="30" xfId="0" applyFont="1" applyBorder="1"/>
    <xf numFmtId="0" fontId="15" fillId="0" borderId="27" xfId="0" applyFont="1" applyBorder="1" applyAlignment="1">
      <alignment wrapText="1"/>
    </xf>
    <xf numFmtId="0" fontId="16" fillId="0" borderId="21" xfId="0" applyFont="1" applyBorder="1"/>
    <xf numFmtId="0" fontId="16" fillId="0" borderId="33" xfId="0" applyFont="1" applyBorder="1"/>
    <xf numFmtId="2" fontId="16" fillId="0" borderId="33" xfId="0" applyNumberFormat="1" applyFont="1" applyBorder="1"/>
    <xf numFmtId="0" fontId="16" fillId="0" borderId="5" xfId="0" applyFont="1" applyBorder="1"/>
    <xf numFmtId="0" fontId="0" fillId="0" borderId="26" xfId="2" applyFont="1" applyBorder="1" applyAlignment="1">
      <alignment horizontal="left" vertical="center"/>
    </xf>
    <xf numFmtId="0" fontId="0" fillId="35" borderId="0" xfId="0" applyFill="1"/>
    <xf numFmtId="0" fontId="16" fillId="35" borderId="0" xfId="0" applyFont="1" applyFill="1" applyAlignment="1">
      <alignment horizontal="right"/>
    </xf>
    <xf numFmtId="0" fontId="16" fillId="35" borderId="0" xfId="0" applyFont="1" applyFill="1"/>
    <xf numFmtId="165" fontId="15" fillId="35" borderId="0" xfId="0" applyNumberFormat="1" applyFont="1" applyFill="1" applyAlignment="1">
      <alignment vertical="center"/>
    </xf>
    <xf numFmtId="0" fontId="15" fillId="35" borderId="0" xfId="0" applyFont="1" applyFill="1" applyAlignment="1">
      <alignment horizontal="right"/>
    </xf>
    <xf numFmtId="2" fontId="16" fillId="2" borderId="16" xfId="0" applyNumberFormat="1" applyFont="1" applyFill="1" applyBorder="1"/>
    <xf numFmtId="2" fontId="16" fillId="2" borderId="16" xfId="0" applyNumberFormat="1" applyFont="1" applyFill="1" applyBorder="1" applyProtection="1">
      <protection locked="0"/>
    </xf>
    <xf numFmtId="0" fontId="12" fillId="0" borderId="0" xfId="0" applyFont="1"/>
    <xf numFmtId="0" fontId="0" fillId="0" borderId="10" xfId="0" applyBorder="1" applyAlignment="1">
      <alignment horizontal="left" vertical="center"/>
    </xf>
    <xf numFmtId="0" fontId="36" fillId="0" borderId="9" xfId="0" applyFont="1" applyBorder="1"/>
    <xf numFmtId="0" fontId="36" fillId="0" borderId="12" xfId="0" applyFont="1" applyBorder="1"/>
    <xf numFmtId="165" fontId="36" fillId="0" borderId="9" xfId="0" applyNumberFormat="1" applyFont="1" applyBorder="1" applyAlignment="1">
      <alignment horizontal="center"/>
    </xf>
    <xf numFmtId="165" fontId="36" fillId="0" borderId="9" xfId="0" applyNumberFormat="1" applyFont="1" applyBorder="1" applyAlignment="1">
      <alignment horizontal="left"/>
    </xf>
    <xf numFmtId="0" fontId="16" fillId="0" borderId="0" xfId="0" applyFont="1" applyAlignment="1">
      <alignment horizontal="left"/>
    </xf>
    <xf numFmtId="2" fontId="35" fillId="0" borderId="0" xfId="0" applyNumberFormat="1" applyFont="1" applyAlignment="1">
      <alignment horizontal="left"/>
    </xf>
    <xf numFmtId="165" fontId="16" fillId="0" borderId="0" xfId="0" applyNumberFormat="1" applyFont="1" applyAlignment="1">
      <alignment horizontal="left"/>
    </xf>
    <xf numFmtId="0" fontId="16" fillId="0" borderId="0" xfId="2" applyFont="1" applyAlignment="1">
      <alignment horizontal="left" vertical="center"/>
    </xf>
    <xf numFmtId="2" fontId="16" fillId="0" borderId="0" xfId="0" applyNumberFormat="1" applyFont="1" applyAlignment="1">
      <alignment horizontal="left"/>
    </xf>
    <xf numFmtId="165" fontId="16" fillId="0" borderId="0" xfId="0" applyNumberFormat="1" applyFont="1" applyAlignment="1">
      <alignment horizontal="center"/>
    </xf>
    <xf numFmtId="0" fontId="15" fillId="0" borderId="34" xfId="0" applyFont="1" applyBorder="1" applyAlignment="1">
      <alignment wrapText="1"/>
    </xf>
    <xf numFmtId="0" fontId="15" fillId="0" borderId="31" xfId="0" applyFont="1" applyBorder="1" applyAlignment="1">
      <alignment horizontal="center" wrapText="1"/>
    </xf>
    <xf numFmtId="2" fontId="16" fillId="0" borderId="32" xfId="0" applyNumberFormat="1" applyFont="1" applyBorder="1"/>
    <xf numFmtId="0" fontId="12" fillId="0" borderId="0" xfId="0" applyFont="1" applyAlignment="1">
      <alignment horizontal="center"/>
    </xf>
    <xf numFmtId="0" fontId="16" fillId="0" borderId="7" xfId="0" applyFont="1" applyBorder="1"/>
    <xf numFmtId="0" fontId="16" fillId="35" borderId="0" xfId="0" applyFont="1" applyFill="1" applyAlignment="1">
      <alignment horizontal="center" vertical="center"/>
    </xf>
    <xf numFmtId="2" fontId="30" fillId="2" borderId="0" xfId="0" applyNumberFormat="1" applyFont="1" applyFill="1" applyAlignment="1">
      <alignment horizontal="right" vertical="center"/>
    </xf>
    <xf numFmtId="2" fontId="36" fillId="0" borderId="9" xfId="0" applyNumberFormat="1" applyFont="1" applyBorder="1" applyAlignment="1">
      <alignment horizontal="center"/>
    </xf>
    <xf numFmtId="0" fontId="16" fillId="0" borderId="10" xfId="0" applyFont="1" applyBorder="1" applyAlignment="1">
      <alignment wrapText="1"/>
    </xf>
    <xf numFmtId="0" fontId="0" fillId="0" borderId="33" xfId="0" applyBorder="1"/>
    <xf numFmtId="0" fontId="12" fillId="0" borderId="28" xfId="0" applyFont="1" applyBorder="1"/>
    <xf numFmtId="0" fontId="16" fillId="33" borderId="0" xfId="0" applyFont="1" applyFill="1" applyProtection="1">
      <protection locked="0"/>
    </xf>
    <xf numFmtId="1" fontId="16" fillId="2" borderId="0" xfId="0" applyNumberFormat="1" applyFont="1" applyFill="1" applyAlignment="1">
      <alignment horizontal="center" vertical="center"/>
    </xf>
    <xf numFmtId="2" fontId="17" fillId="33" borderId="0" xfId="0" applyNumberFormat="1" applyFont="1" applyFill="1" applyAlignment="1" applyProtection="1">
      <alignment horizontal="center" vertical="center"/>
      <protection locked="0"/>
    </xf>
    <xf numFmtId="0" fontId="24" fillId="2" borderId="0" xfId="0" applyFont="1" applyFill="1" applyAlignment="1">
      <alignment horizontal="centerContinuous" vertical="center"/>
    </xf>
    <xf numFmtId="0" fontId="24" fillId="2" borderId="0" xfId="0" applyFont="1" applyFill="1" applyAlignment="1">
      <alignment horizontal="centerContinuous"/>
    </xf>
    <xf numFmtId="0" fontId="24" fillId="0" borderId="0" xfId="0" applyFont="1" applyAlignment="1">
      <alignment horizontal="centerContinuous" vertical="center"/>
    </xf>
    <xf numFmtId="2" fontId="0" fillId="34" borderId="0" xfId="0" applyNumberFormat="1" applyFill="1" applyAlignment="1">
      <alignment horizontal="center" vertical="center"/>
    </xf>
    <xf numFmtId="2" fontId="0" fillId="2" borderId="0" xfId="0" applyNumberFormat="1" applyFill="1" applyAlignment="1">
      <alignment horizontal="center" vertical="center"/>
    </xf>
    <xf numFmtId="0" fontId="0" fillId="0" borderId="13" xfId="0" applyBorder="1" applyAlignment="1">
      <alignment horizontal="left" vertical="center"/>
    </xf>
    <xf numFmtId="0" fontId="36" fillId="0" borderId="15" xfId="0" applyFont="1" applyBorder="1"/>
    <xf numFmtId="165" fontId="36" fillId="0" borderId="25" xfId="0" applyNumberFormat="1" applyFont="1" applyBorder="1" applyAlignment="1">
      <alignment horizontal="center"/>
    </xf>
    <xf numFmtId="165" fontId="36" fillId="0" borderId="25" xfId="0" applyNumberFormat="1" applyFont="1" applyBorder="1" applyAlignment="1">
      <alignment horizontal="left"/>
    </xf>
    <xf numFmtId="2" fontId="36" fillId="0" borderId="25" xfId="0" applyNumberFormat="1" applyFont="1" applyBorder="1" applyAlignment="1">
      <alignment horizontal="center"/>
    </xf>
    <xf numFmtId="0" fontId="0" fillId="0" borderId="0" xfId="2" applyFont="1" applyAlignment="1">
      <alignment horizontal="left" vertical="center"/>
    </xf>
    <xf numFmtId="165" fontId="0" fillId="0" borderId="0" xfId="0" applyNumberFormat="1" applyAlignment="1">
      <alignment horizontal="center"/>
    </xf>
    <xf numFmtId="165" fontId="0" fillId="0" borderId="0" xfId="0" applyNumberFormat="1" applyAlignment="1">
      <alignment horizontal="left"/>
    </xf>
    <xf numFmtId="2" fontId="0" fillId="0" borderId="0" xfId="0" applyNumberFormat="1" applyAlignment="1">
      <alignment horizontal="center"/>
    </xf>
    <xf numFmtId="165" fontId="36" fillId="0" borderId="0" xfId="0" applyNumberFormat="1" applyFont="1" applyAlignment="1">
      <alignment horizontal="left"/>
    </xf>
    <xf numFmtId="0" fontId="0" fillId="0" borderId="0" xfId="0" applyAlignment="1">
      <alignment horizontal="left" vertical="center"/>
    </xf>
    <xf numFmtId="0" fontId="0" fillId="0" borderId="0" xfId="0" applyAlignment="1">
      <alignment horizontal="left"/>
    </xf>
    <xf numFmtId="2" fontId="36" fillId="0" borderId="9" xfId="0" applyNumberFormat="1" applyFont="1" applyBorder="1" applyAlignment="1">
      <alignment horizontal="left"/>
    </xf>
    <xf numFmtId="0" fontId="0" fillId="2" borderId="0" xfId="2" applyFont="1" applyFill="1" applyAlignment="1">
      <alignment horizontal="left" vertical="center"/>
    </xf>
    <xf numFmtId="0" fontId="36" fillId="2" borderId="0" xfId="0" applyFont="1" applyFill="1" applyAlignment="1">
      <alignment horizontal="left" vertical="center"/>
    </xf>
    <xf numFmtId="2" fontId="16" fillId="36" borderId="0" xfId="0" applyNumberFormat="1" applyFont="1" applyFill="1" applyAlignment="1">
      <alignment horizontal="center" vertical="center"/>
    </xf>
    <xf numFmtId="2" fontId="15" fillId="36" borderId="0" xfId="0" applyNumberFormat="1" applyFont="1" applyFill="1" applyAlignment="1">
      <alignment horizontal="center" vertical="center"/>
    </xf>
    <xf numFmtId="0" fontId="16" fillId="36" borderId="0" xfId="0" applyFont="1" applyFill="1" applyAlignment="1">
      <alignment horizontal="center" vertical="center"/>
    </xf>
    <xf numFmtId="0" fontId="22" fillId="2" borderId="0" xfId="0" applyFont="1" applyFill="1" applyAlignment="1">
      <alignment horizontal="left" vertical="top" indent="2"/>
    </xf>
    <xf numFmtId="0" fontId="19" fillId="2" borderId="0" xfId="0" applyFont="1" applyFill="1"/>
    <xf numFmtId="165" fontId="15" fillId="31" borderId="0" xfId="0" applyNumberFormat="1" applyFont="1" applyFill="1" applyAlignment="1">
      <alignment horizontal="center" vertical="center"/>
    </xf>
    <xf numFmtId="0" fontId="0" fillId="0" borderId="46" xfId="0" applyBorder="1"/>
    <xf numFmtId="0" fontId="16" fillId="0" borderId="8" xfId="0" applyFont="1" applyBorder="1"/>
    <xf numFmtId="0" fontId="15" fillId="0" borderId="39" xfId="0" applyFont="1" applyBorder="1" applyAlignment="1">
      <alignment wrapText="1"/>
    </xf>
    <xf numFmtId="0" fontId="15" fillId="0" borderId="40" xfId="0" applyFont="1" applyBorder="1" applyAlignment="1">
      <alignment wrapText="1"/>
    </xf>
    <xf numFmtId="0" fontId="15" fillId="0" borderId="47" xfId="0" applyFont="1" applyBorder="1" applyAlignment="1">
      <alignment wrapText="1"/>
    </xf>
    <xf numFmtId="0" fontId="16" fillId="0" borderId="39" xfId="0" applyFont="1" applyBorder="1"/>
    <xf numFmtId="2" fontId="16" fillId="0" borderId="40" xfId="0" applyNumberFormat="1" applyFont="1" applyBorder="1"/>
    <xf numFmtId="2" fontId="16" fillId="0" borderId="41" xfId="0" applyNumberFormat="1" applyFont="1" applyBorder="1"/>
    <xf numFmtId="2" fontId="16" fillId="0" borderId="21" xfId="0" applyNumberFormat="1" applyFont="1" applyBorder="1"/>
    <xf numFmtId="0" fontId="19" fillId="2" borderId="0" xfId="0" applyFont="1" applyFill="1" applyAlignment="1">
      <alignment horizontal="left" vertical="center"/>
    </xf>
    <xf numFmtId="0" fontId="20" fillId="2" borderId="9" xfId="0" applyFont="1" applyFill="1" applyBorder="1" applyAlignment="1">
      <alignment horizontal="left" vertical="center" wrapText="1"/>
    </xf>
    <xf numFmtId="0" fontId="24" fillId="2" borderId="0" xfId="0" applyFont="1" applyFill="1" applyAlignment="1">
      <alignment horizontal="left" vertical="center"/>
    </xf>
    <xf numFmtId="0" fontId="19" fillId="2" borderId="9" xfId="0" applyFont="1" applyFill="1" applyBorder="1" applyAlignment="1">
      <alignment horizontal="left" vertical="center" wrapText="1"/>
    </xf>
    <xf numFmtId="0" fontId="19" fillId="2" borderId="0" xfId="0" applyFont="1" applyFill="1" applyAlignment="1">
      <alignment vertical="center" wrapText="1"/>
    </xf>
    <xf numFmtId="0" fontId="19" fillId="2" borderId="0" xfId="0" applyFont="1" applyFill="1" applyAlignment="1">
      <alignment horizontal="left" vertical="center" wrapText="1"/>
    </xf>
    <xf numFmtId="0" fontId="19" fillId="2" borderId="17" xfId="0" applyFont="1" applyFill="1" applyBorder="1" applyAlignment="1">
      <alignment horizontal="left" vertical="center" wrapText="1"/>
    </xf>
    <xf numFmtId="0" fontId="24" fillId="2" borderId="0" xfId="0" applyFont="1" applyFill="1" applyAlignment="1">
      <alignment horizontal="left" vertical="center" wrapText="1"/>
    </xf>
    <xf numFmtId="0" fontId="19" fillId="0" borderId="9" xfId="0" applyFont="1" applyBorder="1" applyAlignment="1">
      <alignment horizontal="left" vertical="center" wrapText="1"/>
    </xf>
    <xf numFmtId="0" fontId="19" fillId="2" borderId="0" xfId="0" applyFont="1" applyFill="1" applyAlignment="1">
      <alignment horizontal="center" vertical="center" wrapText="1"/>
    </xf>
    <xf numFmtId="0" fontId="19" fillId="2" borderId="0" xfId="0" applyFont="1" applyFill="1" applyAlignment="1">
      <alignment vertical="center"/>
    </xf>
    <xf numFmtId="0" fontId="16" fillId="2" borderId="0" xfId="0" applyFont="1" applyFill="1" applyAlignment="1">
      <alignment horizontal="left" vertical="center"/>
    </xf>
    <xf numFmtId="0" fontId="8" fillId="0" borderId="0" xfId="0" applyFont="1" applyAlignment="1">
      <alignment horizontal="left" vertical="top" wrapText="1"/>
    </xf>
    <xf numFmtId="0" fontId="24" fillId="2" borderId="0" xfId="0" applyFont="1" applyFill="1" applyAlignment="1">
      <alignment horizontal="center" vertical="center" wrapText="1"/>
    </xf>
    <xf numFmtId="0" fontId="25" fillId="2" borderId="0" xfId="0" applyFont="1" applyFill="1" applyAlignment="1">
      <alignment horizontal="left" vertical="center" wrapText="1"/>
    </xf>
    <xf numFmtId="0" fontId="25" fillId="2" borderId="19" xfId="0" applyFont="1" applyFill="1" applyBorder="1" applyAlignment="1">
      <alignment horizontal="left" vertical="center" wrapText="1"/>
    </xf>
    <xf numFmtId="0" fontId="16" fillId="2" borderId="0" xfId="0" applyFont="1" applyFill="1" applyAlignment="1">
      <alignment horizontal="center" vertical="center" wrapText="1"/>
    </xf>
    <xf numFmtId="0" fontId="27" fillId="2" borderId="0" xfId="0" applyFont="1" applyFill="1" applyAlignment="1">
      <alignment horizontal="left" vertical="center"/>
    </xf>
    <xf numFmtId="0" fontId="15" fillId="2" borderId="0" xfId="0" applyFont="1" applyFill="1" applyAlignment="1">
      <alignment horizontal="left" vertical="center" wrapText="1"/>
    </xf>
    <xf numFmtId="0" fontId="16" fillId="0" borderId="0" xfId="0" applyFont="1" applyAlignment="1">
      <alignment horizontal="left" vertical="center"/>
    </xf>
    <xf numFmtId="0" fontId="15" fillId="2" borderId="0" xfId="0" applyFont="1" applyFill="1" applyAlignment="1">
      <alignment horizontal="left" vertical="center"/>
    </xf>
    <xf numFmtId="0" fontId="28" fillId="2" borderId="0" xfId="0" applyFont="1" applyFill="1" applyAlignment="1">
      <alignment horizontal="right" vertical="center" wrapText="1"/>
    </xf>
    <xf numFmtId="0" fontId="12" fillId="0" borderId="0" xfId="0" applyFont="1" applyAlignment="1">
      <alignment horizontal="center" wrapText="1"/>
    </xf>
    <xf numFmtId="0" fontId="25" fillId="2" borderId="0" xfId="0" applyFont="1" applyFill="1" applyAlignment="1">
      <alignment horizontal="left" vertical="top" wrapText="1"/>
    </xf>
    <xf numFmtId="0" fontId="24" fillId="2" borderId="0" xfId="0" applyFont="1" applyFill="1" applyAlignment="1">
      <alignment horizontal="center" vertical="center"/>
    </xf>
    <xf numFmtId="0" fontId="16" fillId="2" borderId="0" xfId="0" applyFont="1" applyFill="1" applyAlignment="1">
      <alignment horizontal="center" vertical="center"/>
    </xf>
    <xf numFmtId="0" fontId="32" fillId="2" borderId="0" xfId="0" applyFont="1" applyFill="1" applyAlignment="1">
      <alignment horizontal="center" vertical="center" wrapText="1"/>
    </xf>
    <xf numFmtId="0" fontId="15" fillId="2" borderId="0" xfId="0" applyFont="1" applyFill="1" applyAlignment="1">
      <alignment horizontal="center" vertical="center"/>
    </xf>
    <xf numFmtId="0" fontId="16" fillId="33" borderId="0" xfId="0" applyFont="1" applyFill="1" applyAlignment="1" applyProtection="1">
      <alignment horizontal="center" vertical="center"/>
      <protection locked="0"/>
    </xf>
    <xf numFmtId="0" fontId="25" fillId="2" borderId="7" xfId="0" applyFont="1" applyFill="1" applyBorder="1" applyAlignment="1">
      <alignment horizontal="left" vertical="center" wrapText="1"/>
    </xf>
    <xf numFmtId="2" fontId="16" fillId="0" borderId="42" xfId="0" applyNumberFormat="1" applyFont="1" applyBorder="1"/>
    <xf numFmtId="2" fontId="16" fillId="0" borderId="43" xfId="0" applyNumberFormat="1" applyFont="1" applyBorder="1"/>
    <xf numFmtId="2" fontId="16" fillId="0" borderId="44" xfId="0" applyNumberFormat="1" applyFont="1" applyBorder="1"/>
    <xf numFmtId="2" fontId="16" fillId="0" borderId="26" xfId="0" applyNumberFormat="1" applyFont="1" applyBorder="1"/>
    <xf numFmtId="2" fontId="16" fillId="0" borderId="9" xfId="0" applyNumberFormat="1" applyFont="1" applyBorder="1"/>
    <xf numFmtId="2" fontId="16" fillId="0" borderId="38" xfId="0" applyNumberFormat="1" applyFont="1" applyBorder="1"/>
    <xf numFmtId="2" fontId="16" fillId="0" borderId="36" xfId="0" applyNumberFormat="1" applyFont="1" applyBorder="1"/>
    <xf numFmtId="2" fontId="16" fillId="0" borderId="37" xfId="0" applyNumberFormat="1" applyFont="1" applyBorder="1"/>
    <xf numFmtId="2" fontId="16" fillId="0" borderId="45" xfId="0" applyNumberFormat="1" applyFont="1" applyBorder="1"/>
    <xf numFmtId="49" fontId="13" fillId="2" borderId="0" xfId="4" applyNumberFormat="1" applyFill="1" applyBorder="1" applyAlignment="1" applyProtection="1">
      <alignment horizontal="left" vertical="center" wrapText="1"/>
    </xf>
    <xf numFmtId="0" fontId="15" fillId="35" borderId="0" xfId="0" applyFont="1" applyFill="1" applyAlignment="1">
      <alignment horizontal="left" vertical="center"/>
    </xf>
    <xf numFmtId="0" fontId="1" fillId="0" borderId="0" xfId="0" applyFont="1"/>
    <xf numFmtId="0" fontId="1" fillId="0" borderId="0" xfId="0" applyFont="1" applyAlignment="1">
      <alignment horizontal="center"/>
    </xf>
    <xf numFmtId="49" fontId="13" fillId="0" borderId="0" xfId="4" applyNumberFormat="1" applyFill="1" applyBorder="1" applyAlignment="1" applyProtection="1">
      <alignment vertical="center" wrapText="1"/>
      <protection locked="0"/>
    </xf>
    <xf numFmtId="0" fontId="27" fillId="2" borderId="0" xfId="0" applyFont="1" applyFill="1" applyAlignment="1">
      <alignment horizontal="center" vertical="center"/>
    </xf>
    <xf numFmtId="49" fontId="13" fillId="2" borderId="5" xfId="4" applyNumberFormat="1" applyFill="1" applyBorder="1" applyAlignment="1" applyProtection="1">
      <alignment vertical="center" wrapText="1"/>
      <protection locked="0"/>
    </xf>
    <xf numFmtId="0" fontId="28" fillId="2" borderId="0" xfId="0" applyFont="1" applyFill="1" applyAlignment="1">
      <alignment vertical="center"/>
    </xf>
    <xf numFmtId="2" fontId="16" fillId="35" borderId="0" xfId="0" applyNumberFormat="1" applyFont="1" applyFill="1"/>
    <xf numFmtId="2" fontId="15" fillId="34" borderId="0" xfId="0" applyNumberFormat="1" applyFont="1" applyFill="1" applyAlignment="1">
      <alignment vertical="center"/>
    </xf>
    <xf numFmtId="0" fontId="30" fillId="2" borderId="0" xfId="0" applyFont="1" applyFill="1" applyAlignment="1">
      <alignment vertical="center"/>
    </xf>
    <xf numFmtId="0" fontId="28" fillId="37" borderId="0" xfId="0" applyFont="1" applyFill="1" applyAlignment="1">
      <alignment horizontal="left" vertical="center"/>
    </xf>
    <xf numFmtId="0" fontId="28" fillId="37" borderId="0" xfId="0" applyFont="1" applyFill="1" applyAlignment="1">
      <alignment horizontal="right" vertical="center"/>
    </xf>
    <xf numFmtId="0" fontId="28" fillId="37" borderId="0" xfId="0" applyFont="1" applyFill="1" applyAlignment="1">
      <alignment horizontal="right" vertical="center" wrapText="1"/>
    </xf>
    <xf numFmtId="2" fontId="28" fillId="37" borderId="0" xfId="0" applyNumberFormat="1" applyFont="1" applyFill="1" applyAlignment="1">
      <alignment horizontal="right" vertical="center"/>
    </xf>
    <xf numFmtId="1" fontId="15" fillId="31" borderId="0" xfId="0" applyNumberFormat="1" applyFont="1" applyFill="1" applyAlignment="1">
      <alignment horizontal="center" vertical="center"/>
    </xf>
    <xf numFmtId="0" fontId="34" fillId="2" borderId="0" xfId="0" applyFont="1" applyFill="1" applyAlignment="1" applyProtection="1">
      <alignment vertical="top" wrapText="1"/>
      <protection locked="0"/>
    </xf>
    <xf numFmtId="0" fontId="37" fillId="2" borderId="0" xfId="4" applyFont="1" applyFill="1" applyBorder="1" applyAlignment="1" applyProtection="1">
      <alignment horizontal="left" vertical="top"/>
      <protection locked="0"/>
    </xf>
    <xf numFmtId="0" fontId="22" fillId="2" borderId="0" xfId="0" applyFont="1" applyFill="1" applyAlignment="1">
      <alignment vertical="top"/>
    </xf>
    <xf numFmtId="0" fontId="22" fillId="2" borderId="0" xfId="0" applyFont="1" applyFill="1" applyAlignment="1">
      <alignment vertical="top" wrapText="1"/>
    </xf>
    <xf numFmtId="0" fontId="19" fillId="2" borderId="0" xfId="0" applyFont="1" applyFill="1" applyAlignment="1">
      <alignment horizontal="left" vertical="center" wrapText="1"/>
    </xf>
    <xf numFmtId="0" fontId="19" fillId="2" borderId="17" xfId="0" applyFont="1" applyFill="1" applyBorder="1" applyAlignment="1">
      <alignment horizontal="left" vertical="center" wrapText="1"/>
    </xf>
    <xf numFmtId="0" fontId="24" fillId="2" borderId="0" xfId="0" applyFont="1" applyFill="1" applyAlignment="1">
      <alignment horizontal="left" vertical="center"/>
    </xf>
    <xf numFmtId="0" fontId="20" fillId="2" borderId="9" xfId="0" applyFont="1" applyFill="1" applyBorder="1" applyAlignment="1">
      <alignment horizontal="center" vertical="center"/>
    </xf>
    <xf numFmtId="0" fontId="19" fillId="2" borderId="0" xfId="0" applyFont="1" applyFill="1" applyAlignment="1">
      <alignment vertical="center" wrapText="1"/>
    </xf>
    <xf numFmtId="0" fontId="19" fillId="2" borderId="17" xfId="0" applyFont="1" applyFill="1" applyBorder="1" applyAlignment="1">
      <alignment vertical="center" wrapText="1"/>
    </xf>
    <xf numFmtId="0" fontId="22" fillId="2" borderId="0" xfId="4" applyFont="1" applyFill="1" applyBorder="1" applyAlignment="1" applyProtection="1">
      <alignment horizontal="left" vertical="center"/>
      <protection locked="0"/>
    </xf>
    <xf numFmtId="0" fontId="19" fillId="2" borderId="0" xfId="0" applyFont="1" applyFill="1" applyAlignment="1">
      <alignment horizontal="center" vertical="center" wrapText="1"/>
    </xf>
    <xf numFmtId="0" fontId="19" fillId="0" borderId="9" xfId="0" applyFont="1" applyBorder="1" applyAlignment="1">
      <alignment horizontal="left" vertical="center"/>
    </xf>
    <xf numFmtId="0" fontId="19" fillId="0" borderId="9" xfId="0" applyFont="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0" xfId="0" applyFont="1" applyFill="1" applyAlignment="1">
      <alignment vertical="center"/>
    </xf>
    <xf numFmtId="0" fontId="19" fillId="2" borderId="17" xfId="0" applyFont="1" applyFill="1" applyBorder="1" applyAlignment="1">
      <alignment vertical="center"/>
    </xf>
    <xf numFmtId="0" fontId="19" fillId="2" borderId="14" xfId="0" applyFont="1" applyFill="1" applyBorder="1" applyAlignment="1">
      <alignment horizontal="left" vertical="center" wrapText="1"/>
    </xf>
    <xf numFmtId="0" fontId="19" fillId="2" borderId="15" xfId="0" applyFont="1" applyFill="1" applyBorder="1" applyAlignment="1">
      <alignment horizontal="left" vertical="center" wrapText="1"/>
    </xf>
    <xf numFmtId="0" fontId="22" fillId="2" borderId="0" xfId="4" applyFont="1" applyFill="1" applyBorder="1" applyAlignment="1" applyProtection="1">
      <alignment horizontal="left" vertical="center" wrapText="1"/>
      <protection locked="0"/>
    </xf>
    <xf numFmtId="0" fontId="0" fillId="0" borderId="35" xfId="2" applyFont="1" applyBorder="1" applyAlignment="1">
      <alignment horizontal="left" vertical="center"/>
    </xf>
    <xf numFmtId="0" fontId="0" fillId="0" borderId="11" xfId="2" applyFont="1" applyBorder="1" applyAlignment="1">
      <alignment horizontal="left" vertical="center"/>
    </xf>
    <xf numFmtId="0" fontId="0" fillId="0" borderId="12" xfId="2" applyFont="1" applyBorder="1" applyAlignment="1">
      <alignment horizontal="left" vertical="center"/>
    </xf>
    <xf numFmtId="0" fontId="19" fillId="2" borderId="0" xfId="0" applyFont="1" applyFill="1" applyAlignment="1">
      <alignment horizontal="left" vertical="center"/>
    </xf>
    <xf numFmtId="0" fontId="19" fillId="0" borderId="10" xfId="0" applyFont="1" applyBorder="1" applyAlignment="1">
      <alignment horizontal="left" vertical="center"/>
    </xf>
    <xf numFmtId="0" fontId="19" fillId="0" borderId="11" xfId="0" applyFont="1" applyBorder="1" applyAlignment="1">
      <alignment horizontal="left" vertical="center"/>
    </xf>
    <xf numFmtId="0" fontId="19" fillId="0" borderId="12" xfId="0" applyFont="1" applyBorder="1" applyAlignment="1">
      <alignment horizontal="left" vertical="center"/>
    </xf>
    <xf numFmtId="0" fontId="24" fillId="2" borderId="0" xfId="0" applyFont="1" applyFill="1" applyAlignment="1">
      <alignment horizontal="left"/>
    </xf>
    <xf numFmtId="0" fontId="20" fillId="2" borderId="19"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4" fillId="2" borderId="0" xfId="0" applyFont="1" applyFill="1" applyAlignment="1">
      <alignment horizontal="left" vertical="center" wrapText="1"/>
    </xf>
    <xf numFmtId="0" fontId="19" fillId="2" borderId="9"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8" xfId="0" applyFont="1" applyFill="1" applyBorder="1" applyAlignment="1">
      <alignment horizontal="center" vertical="center" wrapText="1"/>
    </xf>
    <xf numFmtId="0" fontId="19" fillId="2" borderId="10"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12" xfId="0" applyFont="1" applyFill="1" applyBorder="1" applyAlignment="1">
      <alignment horizontal="left" vertical="center"/>
    </xf>
    <xf numFmtId="0" fontId="36" fillId="0" borderId="35" xfId="0" applyFont="1" applyBorder="1" applyAlignment="1">
      <alignment horizontal="left" vertical="center"/>
    </xf>
    <xf numFmtId="0" fontId="36" fillId="0" borderId="11" xfId="0" applyFont="1" applyBorder="1" applyAlignment="1">
      <alignment horizontal="left" vertical="center"/>
    </xf>
    <xf numFmtId="0" fontId="36" fillId="0" borderId="12" xfId="0" applyFont="1" applyBorder="1" applyAlignment="1">
      <alignment horizontal="left" vertical="center"/>
    </xf>
    <xf numFmtId="0" fontId="23" fillId="2" borderId="0" xfId="4" applyFont="1" applyFill="1" applyBorder="1" applyAlignment="1" applyProtection="1">
      <alignment horizontal="left" vertical="center" wrapText="1"/>
      <protection locked="0"/>
    </xf>
    <xf numFmtId="0" fontId="19" fillId="0" borderId="10" xfId="0" applyFont="1" applyBorder="1" applyAlignment="1">
      <alignment horizontal="left" vertical="center" wrapText="1"/>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0" fontId="16" fillId="2" borderId="10" xfId="0" applyFont="1" applyFill="1" applyBorder="1" applyAlignment="1" applyProtection="1">
      <alignment horizontal="left"/>
      <protection locked="0"/>
    </xf>
    <xf numFmtId="0" fontId="16" fillId="2" borderId="11" xfId="0" applyFont="1" applyFill="1" applyBorder="1" applyAlignment="1" applyProtection="1">
      <alignment horizontal="left"/>
      <protection locked="0"/>
    </xf>
    <xf numFmtId="0" fontId="16" fillId="2" borderId="12" xfId="0" applyFont="1" applyFill="1" applyBorder="1" applyAlignment="1" applyProtection="1">
      <alignment horizontal="left"/>
      <protection locked="0"/>
    </xf>
    <xf numFmtId="0" fontId="16" fillId="2" borderId="13" xfId="0" applyFont="1" applyFill="1" applyBorder="1" applyAlignment="1" applyProtection="1">
      <alignment horizontal="left" vertical="top"/>
      <protection locked="0"/>
    </xf>
    <xf numFmtId="0" fontId="16" fillId="2" borderId="14" xfId="0" applyFont="1" applyFill="1" applyBorder="1" applyAlignment="1" applyProtection="1">
      <alignment horizontal="left" vertical="top"/>
      <protection locked="0"/>
    </xf>
    <xf numFmtId="0" fontId="16" fillId="2" borderId="15" xfId="0" applyFont="1" applyFill="1" applyBorder="1" applyAlignment="1" applyProtection="1">
      <alignment horizontal="left" vertical="top"/>
      <protection locked="0"/>
    </xf>
    <xf numFmtId="0" fontId="16" fillId="2" borderId="16" xfId="0" applyFont="1" applyFill="1" applyBorder="1" applyAlignment="1" applyProtection="1">
      <alignment horizontal="left" vertical="top"/>
      <protection locked="0"/>
    </xf>
    <xf numFmtId="0" fontId="16" fillId="2" borderId="0" xfId="0" applyFont="1" applyFill="1" applyAlignment="1" applyProtection="1">
      <alignment horizontal="left" vertical="top"/>
      <protection locked="0"/>
    </xf>
    <xf numFmtId="0" fontId="16" fillId="2" borderId="17" xfId="0" applyFont="1" applyFill="1" applyBorder="1" applyAlignment="1" applyProtection="1">
      <alignment horizontal="left" vertical="top"/>
      <protection locked="0"/>
    </xf>
    <xf numFmtId="0" fontId="16" fillId="2" borderId="18" xfId="0" applyFont="1" applyFill="1" applyBorder="1" applyAlignment="1" applyProtection="1">
      <alignment horizontal="left" vertical="top"/>
      <protection locked="0"/>
    </xf>
    <xf numFmtId="0" fontId="16" fillId="2" borderId="19" xfId="0" applyFont="1" applyFill="1" applyBorder="1" applyAlignment="1" applyProtection="1">
      <alignment horizontal="left" vertical="top"/>
      <protection locked="0"/>
    </xf>
    <xf numFmtId="0" fontId="16" fillId="2" borderId="20" xfId="0" applyFont="1" applyFill="1" applyBorder="1" applyAlignment="1" applyProtection="1">
      <alignment horizontal="left" vertical="top"/>
      <protection locked="0"/>
    </xf>
    <xf numFmtId="0" fontId="15" fillId="2" borderId="10" xfId="0" applyFont="1" applyFill="1" applyBorder="1" applyAlignment="1">
      <alignment horizontal="left" vertical="center"/>
    </xf>
    <xf numFmtId="0" fontId="15" fillId="2" borderId="12" xfId="0" applyFont="1" applyFill="1" applyBorder="1" applyAlignment="1">
      <alignment horizontal="left" vertical="center"/>
    </xf>
    <xf numFmtId="0" fontId="15" fillId="2" borderId="10" xfId="0" applyFont="1" applyFill="1" applyBorder="1" applyAlignment="1" applyProtection="1">
      <alignment horizontal="left"/>
      <protection locked="0"/>
    </xf>
    <xf numFmtId="0" fontId="15" fillId="2" borderId="11"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16" fillId="2" borderId="10" xfId="0" applyFont="1" applyFill="1" applyBorder="1" applyAlignment="1" applyProtection="1">
      <alignment horizontal="left" wrapText="1"/>
      <protection locked="0"/>
    </xf>
    <xf numFmtId="0" fontId="16" fillId="2" borderId="11" xfId="0" applyFont="1" applyFill="1" applyBorder="1" applyAlignment="1" applyProtection="1">
      <alignment horizontal="left" wrapText="1"/>
      <protection locked="0"/>
    </xf>
    <xf numFmtId="0" fontId="16" fillId="2" borderId="12" xfId="0" applyFont="1" applyFill="1" applyBorder="1" applyAlignment="1" applyProtection="1">
      <alignment horizontal="left" wrapText="1"/>
      <protection locked="0"/>
    </xf>
    <xf numFmtId="0" fontId="16" fillId="2" borderId="0" xfId="0" applyFont="1" applyFill="1" applyAlignment="1">
      <alignment horizontal="left" vertical="center"/>
    </xf>
    <xf numFmtId="0" fontId="27" fillId="2" borderId="0" xfId="0" applyFont="1" applyFill="1" applyAlignment="1">
      <alignment horizontal="left" vertical="center"/>
    </xf>
    <xf numFmtId="0" fontId="15" fillId="2" borderId="0" xfId="0" applyFont="1" applyFill="1" applyAlignment="1">
      <alignment horizontal="left" vertical="center"/>
    </xf>
    <xf numFmtId="0" fontId="27" fillId="2" borderId="0" xfId="0" applyFont="1" applyFill="1" applyAlignment="1">
      <alignment horizontal="center" vertical="center" wrapText="1"/>
    </xf>
    <xf numFmtId="0" fontId="16" fillId="2" borderId="0" xfId="0" applyFont="1" applyFill="1" applyAlignment="1">
      <alignment horizontal="left" vertical="center" wrapText="1"/>
    </xf>
    <xf numFmtId="0" fontId="25" fillId="2" borderId="0" xfId="0" applyFont="1" applyFill="1" applyAlignment="1">
      <alignment horizontal="left" vertical="center" wrapText="1"/>
    </xf>
    <xf numFmtId="0" fontId="15" fillId="2" borderId="0" xfId="0" applyFont="1" applyFill="1" applyAlignment="1">
      <alignment horizontal="left" vertical="center" wrapText="1"/>
    </xf>
    <xf numFmtId="0" fontId="16" fillId="0" borderId="0" xfId="0" applyFont="1" applyAlignment="1">
      <alignment horizontal="left" vertical="center"/>
    </xf>
    <xf numFmtId="0" fontId="28" fillId="2" borderId="0" xfId="0" applyFont="1" applyFill="1" applyAlignment="1">
      <alignment horizontal="right" vertical="center" wrapText="1"/>
    </xf>
    <xf numFmtId="0" fontId="27" fillId="2" borderId="0" xfId="0" applyFont="1" applyFill="1" applyAlignment="1">
      <alignment horizontal="center" vertical="center"/>
    </xf>
    <xf numFmtId="0" fontId="8" fillId="0" borderId="0" xfId="0" applyFont="1" applyAlignment="1">
      <alignment horizontal="left" vertical="top" wrapText="1"/>
    </xf>
    <xf numFmtId="0" fontId="24" fillId="2" borderId="0" xfId="0" applyFont="1" applyFill="1" applyAlignment="1">
      <alignment horizontal="center" vertical="center" wrapText="1"/>
    </xf>
    <xf numFmtId="0" fontId="25" fillId="2" borderId="19" xfId="0" applyFont="1" applyFill="1" applyBorder="1" applyAlignment="1">
      <alignment horizontal="left" vertical="center" wrapText="1"/>
    </xf>
    <xf numFmtId="0" fontId="18" fillId="2" borderId="0" xfId="0" applyFont="1" applyFill="1" applyAlignment="1">
      <alignment horizontal="center" vertical="center" wrapText="1"/>
    </xf>
    <xf numFmtId="0" fontId="16" fillId="2" borderId="0" xfId="0" applyFont="1" applyFill="1" applyAlignment="1">
      <alignment horizontal="center" vertical="center" wrapText="1"/>
    </xf>
    <xf numFmtId="0" fontId="15" fillId="2" borderId="0" xfId="0" applyFont="1" applyFill="1" applyAlignment="1">
      <alignment horizontal="right" vertical="center"/>
    </xf>
    <xf numFmtId="0" fontId="16" fillId="2" borderId="0" xfId="0" applyFont="1" applyFill="1" applyAlignment="1">
      <alignment horizontal="left"/>
    </xf>
    <xf numFmtId="0" fontId="1" fillId="0" borderId="0" xfId="0" applyFont="1" applyAlignment="1">
      <alignment horizontal="center"/>
    </xf>
    <xf numFmtId="0" fontId="12" fillId="0" borderId="0" xfId="0" applyFont="1" applyAlignment="1">
      <alignment horizontal="center" wrapText="1"/>
    </xf>
    <xf numFmtId="49" fontId="13" fillId="2" borderId="0" xfId="4" applyNumberFormat="1" applyFill="1" applyBorder="1" applyAlignment="1" applyProtection="1">
      <alignment horizontal="left" vertical="center" wrapText="1"/>
    </xf>
    <xf numFmtId="49" fontId="13" fillId="2" borderId="0" xfId="4" applyNumberFormat="1" applyFill="1" applyBorder="1" applyAlignment="1" applyProtection="1">
      <alignment horizontal="left" vertical="center" wrapText="1"/>
      <protection locked="0"/>
    </xf>
    <xf numFmtId="0" fontId="24" fillId="2" borderId="0" xfId="0" applyFont="1" applyFill="1" applyAlignment="1">
      <alignment horizontal="center" vertical="center"/>
    </xf>
    <xf numFmtId="0" fontId="14" fillId="2" borderId="0" xfId="0" applyFont="1" applyFill="1" applyAlignment="1">
      <alignment horizontal="left" vertical="center"/>
    </xf>
    <xf numFmtId="0" fontId="24" fillId="35" borderId="0" xfId="0" applyFont="1" applyFill="1" applyAlignment="1">
      <alignment horizontal="center" vertical="center"/>
    </xf>
    <xf numFmtId="0" fontId="25" fillId="2" borderId="0" xfId="0" applyFont="1" applyFill="1" applyAlignment="1">
      <alignment horizontal="left" vertical="top" wrapText="1"/>
    </xf>
    <xf numFmtId="0" fontId="30" fillId="37" borderId="0" xfId="0" applyFont="1" applyFill="1" applyAlignment="1">
      <alignment horizontal="left" vertical="center" wrapText="1"/>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2" fillId="2" borderId="39" xfId="0" applyFont="1" applyFill="1" applyBorder="1" applyAlignment="1">
      <alignment horizontal="center"/>
    </xf>
    <xf numFmtId="0" fontId="12" fillId="2" borderId="40" xfId="0" applyFont="1" applyFill="1" applyBorder="1" applyAlignment="1">
      <alignment horizontal="center"/>
    </xf>
    <xf numFmtId="0" fontId="12" fillId="2" borderId="40" xfId="0" applyFont="1" applyFill="1" applyBorder="1" applyAlignment="1">
      <alignment horizontal="center" wrapText="1"/>
    </xf>
    <xf numFmtId="0" fontId="12" fillId="2" borderId="41" xfId="0" applyFont="1" applyFill="1" applyBorder="1" applyAlignment="1">
      <alignment horizontal="center" wrapText="1"/>
    </xf>
    <xf numFmtId="0" fontId="12" fillId="2" borderId="39" xfId="0" applyFont="1" applyFill="1" applyBorder="1" applyAlignment="1">
      <alignment horizontal="center" wrapText="1"/>
    </xf>
    <xf numFmtId="0" fontId="25" fillId="2" borderId="7" xfId="0" applyFont="1" applyFill="1" applyBorder="1" applyAlignment="1">
      <alignment horizontal="left" vertical="center" wrapText="1"/>
    </xf>
    <xf numFmtId="0" fontId="16" fillId="2" borderId="0" xfId="0" applyFont="1" applyFill="1" applyAlignment="1">
      <alignment horizontal="center" vertical="center"/>
    </xf>
    <xf numFmtId="0" fontId="32" fillId="2" borderId="0" xfId="0" applyFont="1" applyFill="1" applyAlignment="1">
      <alignment horizontal="center" vertical="center" wrapText="1"/>
    </xf>
    <xf numFmtId="0" fontId="15" fillId="2" borderId="0" xfId="0" applyFont="1" applyFill="1" applyAlignment="1">
      <alignment horizontal="center" vertical="center"/>
    </xf>
    <xf numFmtId="0" fontId="16" fillId="33" borderId="0" xfId="0" applyFont="1" applyFill="1" applyAlignment="1" applyProtection="1">
      <alignment horizontal="center" vertical="center"/>
      <protection locked="0"/>
    </xf>
    <xf numFmtId="0" fontId="0" fillId="0" borderId="0" xfId="0"/>
    <xf numFmtId="0" fontId="0" fillId="0" borderId="23" xfId="0" applyBorder="1"/>
    <xf numFmtId="0" fontId="27" fillId="2" borderId="0" xfId="0" applyFont="1" applyFill="1" applyAlignment="1">
      <alignment horizontal="left" vertical="center" wrapText="1"/>
    </xf>
    <xf numFmtId="0" fontId="15" fillId="2" borderId="0" xfId="0" quotePrefix="1" applyFont="1" applyFill="1" applyAlignment="1">
      <alignment horizontal="center" vertical="center"/>
    </xf>
    <xf numFmtId="0" fontId="15" fillId="2" borderId="0" xfId="0" applyFont="1" applyFill="1" applyAlignment="1">
      <alignment horizontal="left"/>
    </xf>
    <xf numFmtId="0" fontId="31" fillId="0" borderId="0" xfId="0" applyFont="1" applyAlignment="1">
      <alignment horizontal="center" vertical="center"/>
    </xf>
    <xf numFmtId="0" fontId="16" fillId="35" borderId="0" xfId="0" applyFont="1" applyFill="1" applyAlignment="1">
      <alignment horizontal="left" vertical="center"/>
    </xf>
    <xf numFmtId="0" fontId="15" fillId="35" borderId="0" xfId="0" applyFont="1" applyFill="1" applyAlignment="1">
      <alignment horizontal="left" vertical="center"/>
    </xf>
    <xf numFmtId="1" fontId="15" fillId="34" borderId="0" xfId="0" applyNumberFormat="1" applyFont="1" applyFill="1" applyAlignment="1" applyProtection="1">
      <alignment horizontal="center" vertical="center"/>
      <protection locked="0"/>
    </xf>
  </cellXfs>
  <cellStyles count="5">
    <cellStyle name="Hyperlink" xfId="4" builtinId="8"/>
    <cellStyle name="Normal" xfId="0" builtinId="0" customBuiltin="1"/>
    <cellStyle name="Normal 2" xfId="2" xr:uid="{3B885966-5D60-4239-9CAA-61962E998E20}"/>
    <cellStyle name="Normal 4" xfId="3" xr:uid="{EE680740-7D32-4421-AB29-DF4322DA1108}"/>
    <cellStyle name="Percent" xfId="1" builtinId="5"/>
  </cellStyles>
  <dxfs count="122">
    <dxf>
      <fill>
        <patternFill>
          <bgColor rgb="FF00B050"/>
        </patternFill>
      </fill>
    </dxf>
    <dxf>
      <fill>
        <patternFill>
          <bgColor rgb="FFFF0000"/>
        </patternFill>
      </fill>
    </dxf>
    <dxf>
      <fill>
        <patternFill>
          <bgColor rgb="FFFF7171"/>
        </patternFill>
      </fill>
    </dxf>
    <dxf>
      <fill>
        <patternFill>
          <bgColor rgb="FFFF6969"/>
        </patternFill>
      </fill>
    </dxf>
    <dxf>
      <fill>
        <patternFill>
          <bgColor rgb="FFFF7171"/>
        </patternFill>
      </fill>
    </dxf>
    <dxf>
      <fill>
        <patternFill>
          <bgColor rgb="FFFF6969"/>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7171"/>
        </patternFill>
      </fill>
    </dxf>
    <dxf>
      <fill>
        <patternFill>
          <bgColor rgb="FFFF6969"/>
        </patternFill>
      </fill>
    </dxf>
    <dxf>
      <fill>
        <patternFill>
          <bgColor rgb="FFFF7171"/>
        </patternFill>
      </fill>
    </dxf>
    <dxf>
      <fill>
        <patternFill>
          <bgColor rgb="FFFF6969"/>
        </patternFill>
      </fill>
    </dxf>
    <dxf>
      <fill>
        <patternFill>
          <bgColor rgb="FFFF7171"/>
        </patternFill>
      </fill>
    </dxf>
    <dxf>
      <fill>
        <patternFill>
          <bgColor rgb="FFFF6969"/>
        </patternFill>
      </fill>
    </dxf>
    <dxf>
      <fill>
        <patternFill>
          <bgColor rgb="FFFF6969"/>
        </patternFill>
      </fill>
    </dxf>
    <dxf>
      <fill>
        <patternFill>
          <bgColor rgb="FFFF7171"/>
        </patternFill>
      </fill>
    </dxf>
    <dxf>
      <fill>
        <patternFill>
          <bgColor rgb="FFFF6969"/>
        </patternFill>
      </fill>
    </dxf>
    <dxf>
      <fill>
        <patternFill>
          <bgColor rgb="FFFF7171"/>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rgb="FFFF7171"/>
        </patternFill>
      </fill>
    </dxf>
    <dxf>
      <fill>
        <patternFill>
          <bgColor rgb="FFFF6969"/>
        </patternFill>
      </fill>
    </dxf>
    <dxf>
      <fill>
        <patternFill>
          <bgColor rgb="FFFF7171"/>
        </patternFill>
      </fill>
    </dxf>
    <dxf>
      <fill>
        <patternFill>
          <bgColor rgb="FFFF7171"/>
        </patternFill>
      </fill>
    </dxf>
    <dxf>
      <fill>
        <patternFill>
          <bgColor rgb="FFFF6969"/>
        </patternFill>
      </fill>
    </dxf>
    <dxf>
      <fill>
        <patternFill>
          <bgColor rgb="FFFF6969"/>
        </patternFill>
      </fill>
    </dxf>
    <dxf>
      <fill>
        <patternFill>
          <bgColor rgb="FFFF7171"/>
        </patternFill>
      </fill>
    </dxf>
    <dxf>
      <fill>
        <patternFill>
          <bgColor rgb="FFFF6969"/>
        </patternFill>
      </fill>
    </dxf>
    <dxf>
      <fill>
        <patternFill>
          <bgColor theme="9" tint="0.59996337778862885"/>
        </patternFill>
      </fill>
    </dxf>
    <dxf>
      <fill>
        <patternFill>
          <bgColor rgb="FFFF7171"/>
        </patternFill>
      </fill>
    </dxf>
    <dxf>
      <fill>
        <patternFill>
          <bgColor rgb="FFFF7171"/>
        </patternFill>
      </fill>
    </dxf>
    <dxf>
      <fill>
        <patternFill>
          <bgColor theme="9" tint="0.59996337778862885"/>
        </patternFill>
      </fill>
    </dxf>
    <dxf>
      <fill>
        <patternFill>
          <bgColor theme="9" tint="0.59996337778862885"/>
        </patternFill>
      </fill>
    </dxf>
    <dxf>
      <fill>
        <patternFill>
          <bgColor rgb="FFFF6969"/>
        </patternFill>
      </fill>
    </dxf>
    <dxf>
      <fill>
        <patternFill>
          <bgColor theme="9" tint="0.59996337778862885"/>
        </patternFill>
      </fill>
    </dxf>
    <dxf>
      <fill>
        <patternFill>
          <bgColor rgb="FFFF6969"/>
        </patternFill>
      </fill>
    </dxf>
    <dxf>
      <fill>
        <patternFill>
          <bgColor rgb="FFFF6969"/>
        </patternFill>
      </fill>
    </dxf>
    <dxf>
      <fill>
        <patternFill>
          <bgColor rgb="FFDDEBF7"/>
        </patternFill>
      </fill>
    </dxf>
    <dxf>
      <fill>
        <patternFill>
          <bgColor rgb="FFDDEBF7"/>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FFF2CC"/>
        </patternFill>
      </fill>
    </dxf>
    <dxf>
      <fill>
        <patternFill>
          <bgColor rgb="FFFFF2CC"/>
        </patternFill>
      </fill>
    </dxf>
    <dxf>
      <fill>
        <patternFill>
          <bgColor rgb="FFFFF2CC"/>
        </patternFill>
      </fill>
    </dxf>
    <dxf>
      <font>
        <strike val="0"/>
        <outline val="0"/>
        <shadow val="0"/>
        <u val="none"/>
        <vertAlign val="baseline"/>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0"/>
        <color rgb="FF000000"/>
        <name val="Calibri"/>
        <family val="2"/>
        <scheme val="minor"/>
      </font>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b/>
        <i val="0"/>
        <strike val="0"/>
        <condense val="0"/>
        <extend val="0"/>
        <outline val="0"/>
        <shadow val="0"/>
        <u val="none"/>
        <vertAlign val="baseline"/>
        <sz val="10"/>
        <color rgb="FF000000"/>
        <name val="Calibri"/>
        <family val="2"/>
        <scheme val="minor"/>
      </font>
    </dxf>
    <dxf>
      <border diagonalUp="0" diagonalDown="0">
        <left style="thin">
          <color indexed="64"/>
        </left>
        <right style="thin">
          <color indexed="64"/>
        </right>
        <top/>
        <bottom/>
      </border>
    </dxf>
    <dxf>
      <font>
        <strike val="0"/>
        <outline val="0"/>
        <shadow val="0"/>
        <u val="none"/>
        <vertAlign val="baseline"/>
        <name val="Calibri"/>
        <family val="2"/>
        <scheme val="minor"/>
      </font>
      <numFmt numFmtId="2" formatCode="0.00"/>
    </dxf>
    <dxf>
      <border diagonalUp="0" diagonalDown="0">
        <left style="thin">
          <color indexed="64"/>
        </left>
        <right style="thin">
          <color indexed="64"/>
        </right>
        <top/>
        <bottom/>
      </border>
    </dxf>
    <dxf>
      <font>
        <strike val="0"/>
        <outline val="0"/>
        <shadow val="0"/>
        <u val="none"/>
        <vertAlign val="baseline"/>
        <name val="Calibri"/>
        <family val="2"/>
        <scheme val="minor"/>
      </font>
      <border outline="0">
        <left style="thin">
          <color indexed="64"/>
        </left>
        <right/>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font>
        <b val="0"/>
        <strike val="0"/>
        <outline val="0"/>
        <shadow val="0"/>
        <u val="none"/>
        <vertAlign val="baseline"/>
        <sz val="10"/>
        <color rgb="FF000000"/>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medium">
          <color indexed="64"/>
        </bottom>
      </border>
    </dxf>
    <dxf>
      <font>
        <strike val="0"/>
        <outline val="0"/>
        <shadow val="0"/>
        <u val="none"/>
        <vertAlign val="baseline"/>
        <name val="Calibri"/>
        <family val="2"/>
        <scheme val="minor"/>
      </font>
    </dxf>
  </dxfs>
  <tableStyles count="0" defaultTableStyle="TableStyleMedium2" defaultPivotStyle="PivotStyleLight16"/>
  <colors>
    <mruColors>
      <color rgb="FFFFF2CC"/>
      <color rgb="FFD6F4FE"/>
      <color rgb="FFFFEFFF"/>
      <color rgb="FFFFFFFF"/>
      <color rgb="FFFFCCFF"/>
      <color rgb="FFD19FFF"/>
      <color rgb="FFDDEBF7"/>
      <color rgb="FFFFFF99"/>
      <color rgb="FFCAF2FE"/>
      <color rgb="FF96E5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TP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Calculations'!$F$14:$Z$14</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4C2B-492F-93E0-30C6384BA9F1}"/>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B"/>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phosphorous</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14</xdr:col>
      <xdr:colOff>46987</xdr:colOff>
      <xdr:row>1</xdr:row>
      <xdr:rowOff>85627</xdr:rowOff>
    </xdr:from>
    <xdr:to>
      <xdr:col>15</xdr:col>
      <xdr:colOff>1351852</xdr:colOff>
      <xdr:row>6</xdr:row>
      <xdr:rowOff>133350</xdr:rowOff>
    </xdr:to>
    <xdr:pic>
      <xdr:nvPicPr>
        <xdr:cNvPr id="2" name="Picture 1" descr="See the source image">
          <a:extLst>
            <a:ext uri="{FF2B5EF4-FFF2-40B4-BE49-F238E27FC236}">
              <a16:creationId xmlns:a16="http://schemas.microsoft.com/office/drawing/2014/main" id="{7DC3AFCA-7B67-4E9C-864C-6853F41453F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82" t="4554" r="3865" b="5890"/>
        <a:stretch/>
      </xdr:blipFill>
      <xdr:spPr bwMode="auto">
        <a:xfrm>
          <a:off x="10486387" y="257077"/>
          <a:ext cx="1666815" cy="762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236797</xdr:colOff>
      <xdr:row>132</xdr:row>
      <xdr:rowOff>18789</xdr:rowOff>
    </xdr:from>
    <xdr:to>
      <xdr:col>12</xdr:col>
      <xdr:colOff>513049</xdr:colOff>
      <xdr:row>132</xdr:row>
      <xdr:rowOff>973614</xdr:rowOff>
    </xdr:to>
    <xdr:pic>
      <xdr:nvPicPr>
        <xdr:cNvPr id="4" name="Picture 3">
          <a:extLst>
            <a:ext uri="{FF2B5EF4-FFF2-40B4-BE49-F238E27FC236}">
              <a16:creationId xmlns:a16="http://schemas.microsoft.com/office/drawing/2014/main" id="{39785F44-A4D5-421F-A6C6-04FB76BBDA11}"/>
            </a:ext>
          </a:extLst>
        </xdr:cNvPr>
        <xdr:cNvPicPr>
          <a:picLocks noChangeAspect="1"/>
        </xdr:cNvPicPr>
      </xdr:nvPicPr>
      <xdr:blipFill>
        <a:blip xmlns:r="http://schemas.openxmlformats.org/officeDocument/2006/relationships" r:embed="rId2"/>
        <a:stretch>
          <a:fillRect/>
        </a:stretch>
      </xdr:blipFill>
      <xdr:spPr>
        <a:xfrm>
          <a:off x="5065972" y="58197489"/>
          <a:ext cx="1914552" cy="954825"/>
        </a:xfrm>
        <a:prstGeom prst="rect">
          <a:avLst/>
        </a:prstGeom>
      </xdr:spPr>
    </xdr:pic>
    <xdr:clientData/>
  </xdr:twoCellAnchor>
  <xdr:twoCellAnchor editAs="oneCell">
    <xdr:from>
      <xdr:col>15</xdr:col>
      <xdr:colOff>1531470</xdr:colOff>
      <xdr:row>2</xdr:row>
      <xdr:rowOff>0</xdr:rowOff>
    </xdr:from>
    <xdr:to>
      <xdr:col>15</xdr:col>
      <xdr:colOff>3581399</xdr:colOff>
      <xdr:row>6</xdr:row>
      <xdr:rowOff>865285</xdr:rowOff>
    </xdr:to>
    <xdr:pic>
      <xdr:nvPicPr>
        <xdr:cNvPr id="7" name="Picture 6">
          <a:extLst>
            <a:ext uri="{FF2B5EF4-FFF2-40B4-BE49-F238E27FC236}">
              <a16:creationId xmlns:a16="http://schemas.microsoft.com/office/drawing/2014/main" id="{F86AB887-9952-5299-6F0B-80FD71D2FD3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89646" y="351118"/>
          <a:ext cx="2049929" cy="13956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606752</xdr:colOff>
      <xdr:row>0</xdr:row>
      <xdr:rowOff>160574</xdr:rowOff>
    </xdr:from>
    <xdr:to>
      <xdr:col>16</xdr:col>
      <xdr:colOff>541023</xdr:colOff>
      <xdr:row>43</xdr:row>
      <xdr:rowOff>145977</xdr:rowOff>
    </xdr:to>
    <xdr:pic>
      <xdr:nvPicPr>
        <xdr:cNvPr id="4" name="Picture 3">
          <a:extLst>
            <a:ext uri="{FF2B5EF4-FFF2-40B4-BE49-F238E27FC236}">
              <a16:creationId xmlns:a16="http://schemas.microsoft.com/office/drawing/2014/main" id="{B23FCAF5-3F60-2CD4-42DC-B459794F91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752" y="160574"/>
          <a:ext cx="9743926" cy="68901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611187</xdr:colOff>
      <xdr:row>0</xdr:row>
      <xdr:rowOff>158749</xdr:rowOff>
    </xdr:from>
    <xdr:to>
      <xdr:col>14</xdr:col>
      <xdr:colOff>315533</xdr:colOff>
      <xdr:row>37</xdr:row>
      <xdr:rowOff>130968</xdr:rowOff>
    </xdr:to>
    <xdr:pic>
      <xdr:nvPicPr>
        <xdr:cNvPr id="3" name="Picture 2">
          <a:extLst>
            <a:ext uri="{FF2B5EF4-FFF2-40B4-BE49-F238E27FC236}">
              <a16:creationId xmlns:a16="http://schemas.microsoft.com/office/drawing/2014/main" id="{BEAAD590-4D85-4267-BBF9-E72581E384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1187" y="158749"/>
          <a:ext cx="8260971" cy="58459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30545</xdr:colOff>
      <xdr:row>25</xdr:row>
      <xdr:rowOff>126369</xdr:rowOff>
    </xdr:from>
    <xdr:to>
      <xdr:col>21</xdr:col>
      <xdr:colOff>33618</xdr:colOff>
      <xdr:row>43</xdr:row>
      <xdr:rowOff>0</xdr:rowOff>
    </xdr:to>
    <xdr:graphicFrame macro="">
      <xdr:nvGraphicFramePr>
        <xdr:cNvPr id="2" name="Chart 1">
          <a:extLst>
            <a:ext uri="{FF2B5EF4-FFF2-40B4-BE49-F238E27FC236}">
              <a16:creationId xmlns:a16="http://schemas.microsoft.com/office/drawing/2014/main" id="{63640F61-E7DE-49AE-85BB-57BC51CF1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305327\Documents\Environmental%20Services%20proposals\Cornwall%20Phosphates%20Strategy\Calculator\P%20budget%20Calc_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amel Catchment"/>
      <sheetName val="Info"/>
      <sheetName val="Stage 1"/>
      <sheetName val="Stage 2"/>
      <sheetName val="Stage 3"/>
      <sheetName val="Stage 4"/>
      <sheetName val="Zero value Calc"/>
      <sheetName val="Graph Calculations"/>
      <sheetName val="Stage 5"/>
      <sheetName val="Stage 6"/>
      <sheetName val="Stage 7"/>
      <sheetName val="Data Tables"/>
      <sheetName val="_SSC"/>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ow r="5">
          <cell r="B5" t="str">
            <v>Blisland</v>
          </cell>
          <cell r="C5" t="str">
            <v>SX 09866 73046</v>
          </cell>
          <cell r="D5" t="str">
            <v>No</v>
          </cell>
          <cell r="E5">
            <v>5</v>
          </cell>
          <cell r="F5">
            <v>5</v>
          </cell>
          <cell r="G5" t="str">
            <v>No</v>
          </cell>
          <cell r="H5">
            <v>5</v>
          </cell>
          <cell r="I5">
            <v>5</v>
          </cell>
        </row>
        <row r="6">
          <cell r="B6" t="str">
            <v>Bodmin - Nanstallon</v>
          </cell>
          <cell r="C6" t="str">
            <v>SX 04401 67172</v>
          </cell>
          <cell r="D6" t="str">
            <v>Yes</v>
          </cell>
          <cell r="E6">
            <v>1</v>
          </cell>
          <cell r="F6">
            <v>0.9</v>
          </cell>
          <cell r="G6" t="str">
            <v>Yes</v>
          </cell>
          <cell r="H6">
            <v>1</v>
          </cell>
          <cell r="I6">
            <v>0.9</v>
          </cell>
        </row>
        <row r="7">
          <cell r="B7" t="str">
            <v>Bodmin - Scarlett's Well</v>
          </cell>
          <cell r="C7" t="str">
            <v>SX 05566 67410</v>
          </cell>
          <cell r="D7" t="str">
            <v>Yes</v>
          </cell>
          <cell r="E7">
            <v>1</v>
          </cell>
          <cell r="F7">
            <v>0.9</v>
          </cell>
          <cell r="G7" t="str">
            <v>Yes</v>
          </cell>
          <cell r="H7">
            <v>1</v>
          </cell>
          <cell r="I7">
            <v>0.9</v>
          </cell>
        </row>
        <row r="8">
          <cell r="B8" t="str">
            <v>Camelford</v>
          </cell>
          <cell r="C8" t="str">
            <v>SX 10574 83321</v>
          </cell>
          <cell r="D8" t="str">
            <v>Yes</v>
          </cell>
          <cell r="E8">
            <v>1</v>
          </cell>
          <cell r="F8">
            <v>0.9</v>
          </cell>
          <cell r="G8" t="str">
            <v>Yes</v>
          </cell>
          <cell r="H8">
            <v>0.8</v>
          </cell>
          <cell r="I8">
            <v>0.72000000000000008</v>
          </cell>
        </row>
        <row r="9">
          <cell r="B9" t="str">
            <v>Delabole</v>
          </cell>
          <cell r="C9" t="str">
            <v>SX 07230 83269</v>
          </cell>
          <cell r="D9" t="str">
            <v>Yes</v>
          </cell>
          <cell r="E9">
            <v>1</v>
          </cell>
          <cell r="F9">
            <v>0.9</v>
          </cell>
          <cell r="G9" t="str">
            <v>Yes</v>
          </cell>
          <cell r="H9">
            <v>1</v>
          </cell>
          <cell r="I9">
            <v>0.9</v>
          </cell>
        </row>
        <row r="10">
          <cell r="B10" t="str">
            <v>Helstone</v>
          </cell>
          <cell r="C10" t="str">
            <v>SX 08683 81638</v>
          </cell>
          <cell r="D10" t="str">
            <v>No</v>
          </cell>
          <cell r="E10">
            <v>5</v>
          </cell>
          <cell r="F10">
            <v>5</v>
          </cell>
          <cell r="G10" t="str">
            <v>No</v>
          </cell>
          <cell r="H10">
            <v>5</v>
          </cell>
          <cell r="I10">
            <v>5</v>
          </cell>
        </row>
        <row r="11">
          <cell r="B11" t="str">
            <v>St Breward</v>
          </cell>
          <cell r="C11" t="str">
            <v>SX 09071 76157</v>
          </cell>
          <cell r="D11" t="str">
            <v>No</v>
          </cell>
          <cell r="E11">
            <v>5</v>
          </cell>
          <cell r="F11">
            <v>5</v>
          </cell>
          <cell r="G11" t="str">
            <v>No</v>
          </cell>
          <cell r="H11">
            <v>5</v>
          </cell>
          <cell r="I11">
            <v>5</v>
          </cell>
        </row>
        <row r="12">
          <cell r="B12" t="str">
            <v>St Mabyn</v>
          </cell>
          <cell r="C12" t="str">
            <v>SX 04260 75354</v>
          </cell>
          <cell r="D12" t="str">
            <v>No</v>
          </cell>
          <cell r="E12">
            <v>5</v>
          </cell>
          <cell r="F12">
            <v>5</v>
          </cell>
          <cell r="G12" t="str">
            <v>Yes</v>
          </cell>
          <cell r="H12">
            <v>2</v>
          </cell>
          <cell r="I12">
            <v>1.8</v>
          </cell>
        </row>
        <row r="13">
          <cell r="B13" t="str">
            <v>St Teath</v>
          </cell>
          <cell r="C13" t="str">
            <v>SX 05997 80603</v>
          </cell>
          <cell r="D13" t="str">
            <v>No</v>
          </cell>
          <cell r="E13">
            <v>5</v>
          </cell>
          <cell r="F13">
            <v>5</v>
          </cell>
          <cell r="G13" t="str">
            <v>No</v>
          </cell>
          <cell r="H13">
            <v>5</v>
          </cell>
          <cell r="I13">
            <v>5</v>
          </cell>
        </row>
        <row r="14">
          <cell r="B14" t="str">
            <v>Unknown</v>
          </cell>
          <cell r="C14" t="str">
            <v>N/A</v>
          </cell>
          <cell r="D14" t="str">
            <v>No</v>
          </cell>
          <cell r="E14">
            <v>5</v>
          </cell>
          <cell r="F14">
            <v>5</v>
          </cell>
          <cell r="G14" t="str">
            <v>No</v>
          </cell>
          <cell r="H14">
            <v>5</v>
          </cell>
          <cell r="I14">
            <v>5</v>
          </cell>
        </row>
      </sheetData>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500EF3-77F0-467A-961C-20B13BA11DE1}" name="Table1" displayName="Table1" ref="B4:H11" totalsRowShown="0" headerRowDxfId="121" dataDxfId="119" headerRowBorderDxfId="120" tableBorderDxfId="118">
  <autoFilter ref="B4:H11" xr:uid="{3C00E521-38CF-41F5-8D98-30C4E17CD153}"/>
  <tableColumns count="7">
    <tableColumn id="1" xr3:uid="{132379D4-C42C-4272-812E-BCF4A7023A8D}" name="Wastewater Treatment works (WwTW)" dataDxfId="117" totalsRowDxfId="116"/>
    <tableColumn id="5" xr3:uid="{D0943D36-4853-46E8-AAD6-A7C7B162A51E}" name="2020 Value known?" dataDxfId="115" totalsRowDxfId="114"/>
    <tableColumn id="2" xr3:uid="{D6A22126-B925-404C-A585-55B346310981}" name="2020 P Discharge level (mg/L)" dataDxfId="113" totalsRowDxfId="112"/>
    <tableColumn id="9" xr3:uid="{02C1601F-537C-4927-BBE9-D2E1E65DA0A7}" name="2025 Value known?" dataDxfId="111" totalsRowDxfId="110"/>
    <tableColumn id="4" xr3:uid="{21F8819C-8D6D-4BEC-B9B0-DA963C1AB5B1}" name="2025 P Discharge level (mg/L)" dataDxfId="109" totalsRowDxfId="108"/>
    <tableColumn id="3" xr3:uid="{5DC9443B-5F6A-43E5-A9DD-5603BF6789C2}" name="2030 Value known?" dataDxfId="107" totalsRowDxfId="106"/>
    <tableColumn id="6" xr3:uid="{87FDDE92-45BB-4321-8EA4-F2A0C600EEC5}" name="2030 P Discharge level (mg/L)" dataDxfId="105" totalsRowDxfId="104">
      <calculatedColumnFormula>0.25*0.9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5AE6EDE-372F-4609-9D6A-FA738BCDB466}" name="Table2" displayName="Table2" ref="J4:K11" totalsRowShown="0" headerRowDxfId="103" dataDxfId="102">
  <autoFilter ref="J4:K11" xr:uid="{307B00A4-2832-4B35-8D42-EC8056ECD36B}"/>
  <tableColumns count="2">
    <tableColumn id="1" xr3:uid="{F981CFFB-C24C-45E2-8261-567716B0350F}" name="Land Use classification" dataDxfId="101"/>
    <tableColumn id="2" xr3:uid="{34307E7B-4C87-4413-8E9E-C80DC28B03B9}" name="Leaching rate (kg / ha / yr)" dataDxfId="100"/>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654144-2481-488B-9565-63F87905A271}" name="Table3" displayName="Table3" ref="J14:K18" totalsRowShown="0" headerRowDxfId="99" dataDxfId="97" headerRowBorderDxfId="98" tableBorderDxfId="96" totalsRowBorderDxfId="95">
  <autoFilter ref="J14:K18" xr:uid="{C8654144-2481-488B-9565-63F87905A271}"/>
  <tableColumns count="2">
    <tableColumn id="1" xr3:uid="{5F34F050-241F-4B01-932B-F47E0A2DE76F}" name="Treatment type" dataDxfId="94"/>
    <tableColumn id="2" xr3:uid="{8FB3D500-BA37-4D3E-90E9-07694A8FAE99}" name="P removal" dataDxfId="93"/>
  </tableColumns>
  <tableStyleInfo name="TableStyleLight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apapps2.bgs.ac.uk/ukso/home.html?layers=NVZEng" TargetMode="External"/><Relationship Id="rId2" Type="http://schemas.openxmlformats.org/officeDocument/2006/relationships/hyperlink" Target="https://gridreferencefinder.com/" TargetMode="External"/><Relationship Id="rId1" Type="http://schemas.openxmlformats.org/officeDocument/2006/relationships/hyperlink" Target="http://www.landis.org.uk/soilscapes/index.cf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2.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3.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5" Type="http://schemas.openxmlformats.org/officeDocument/2006/relationships/table" Target="../tables/table3.xml"/><Relationship Id="rId4" Type="http://schemas.openxmlformats.org/officeDocument/2006/relationships/table" Target="../tables/table2.xml"/></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FB60-A6FF-4381-AFC7-8E138F60971D}">
  <dimension ref="B1:R136"/>
  <sheetViews>
    <sheetView topLeftCell="A48" zoomScaleNormal="100" workbookViewId="0">
      <selection activeCell="C103" sqref="C103:P103"/>
    </sheetView>
  </sheetViews>
  <sheetFormatPr defaultRowHeight="12.5" x14ac:dyDescent="0.25"/>
  <cols>
    <col min="1" max="1" width="5.26953125" customWidth="1"/>
    <col min="2" max="2" width="1.1796875" customWidth="1"/>
    <col min="3" max="3" width="7.453125" customWidth="1"/>
    <col min="4" max="4" width="5.7265625" customWidth="1"/>
    <col min="6" max="6" width="10.81640625" customWidth="1"/>
    <col min="7" max="7" width="13" customWidth="1"/>
    <col min="8" max="8" width="11.7265625" customWidth="1"/>
    <col min="9" max="9" width="11.81640625" customWidth="1"/>
    <col min="10" max="10" width="6" customWidth="1"/>
    <col min="13" max="13" width="47.453125" customWidth="1"/>
    <col min="14" max="14" width="8.7265625" customWidth="1"/>
    <col min="15" max="15" width="5.453125" customWidth="1"/>
    <col min="16" max="16" width="59.7265625" customWidth="1"/>
    <col min="17" max="17" width="1.453125" customWidth="1"/>
  </cols>
  <sheetData>
    <row r="1" spans="2:17" ht="13" thickBot="1" x14ac:dyDescent="0.3"/>
    <row r="2" spans="2:17" ht="14.5" customHeight="1" x14ac:dyDescent="0.25">
      <c r="B2" s="1"/>
      <c r="C2" s="31"/>
      <c r="D2" s="31"/>
      <c r="E2" s="31"/>
      <c r="F2" s="31"/>
      <c r="G2" s="31"/>
      <c r="H2" s="31"/>
      <c r="I2" s="31"/>
      <c r="J2" s="31"/>
      <c r="K2" s="31"/>
      <c r="L2" s="31"/>
      <c r="M2" s="31"/>
      <c r="N2" s="31"/>
      <c r="O2" s="31"/>
      <c r="P2" s="31"/>
      <c r="Q2" s="3"/>
    </row>
    <row r="3" spans="2:17" ht="12" customHeight="1" x14ac:dyDescent="0.25">
      <c r="B3" s="4"/>
      <c r="C3" s="36" t="s">
        <v>0</v>
      </c>
      <c r="D3" s="35"/>
      <c r="E3" s="35"/>
      <c r="F3" s="35"/>
      <c r="G3" s="35"/>
      <c r="H3" s="12"/>
      <c r="I3" s="12"/>
      <c r="J3" s="12"/>
      <c r="K3" s="12"/>
      <c r="L3" s="12"/>
      <c r="M3" s="23"/>
      <c r="N3" s="12"/>
      <c r="O3" s="12"/>
      <c r="P3" s="12"/>
      <c r="Q3" s="6"/>
    </row>
    <row r="4" spans="2:17" ht="11.5" customHeight="1" x14ac:dyDescent="0.25">
      <c r="B4" s="4"/>
      <c r="C4" s="12"/>
      <c r="D4" s="12"/>
      <c r="E4" s="12"/>
      <c r="F4" s="12"/>
      <c r="G4" s="12"/>
      <c r="H4" s="12"/>
      <c r="I4" s="12"/>
      <c r="J4" s="12"/>
      <c r="K4" s="12"/>
      <c r="L4" s="12"/>
      <c r="M4" s="12"/>
      <c r="N4" s="12"/>
      <c r="O4" s="12"/>
      <c r="P4" s="12"/>
      <c r="Q4" s="6"/>
    </row>
    <row r="5" spans="2:17" ht="6" customHeight="1" x14ac:dyDescent="0.25">
      <c r="B5" s="4"/>
      <c r="C5" s="12"/>
      <c r="D5" s="12"/>
      <c r="E5" s="12"/>
      <c r="F5" s="12"/>
      <c r="G5" s="12"/>
      <c r="H5" s="12"/>
      <c r="I5" s="12"/>
      <c r="J5" s="12"/>
      <c r="K5" s="12"/>
      <c r="L5" s="12"/>
      <c r="M5" s="12"/>
      <c r="N5" s="12"/>
      <c r="O5" s="12"/>
      <c r="P5" s="12"/>
      <c r="Q5" s="6"/>
    </row>
    <row r="6" spans="2:17" x14ac:dyDescent="0.25">
      <c r="B6" s="4"/>
      <c r="C6" s="5"/>
      <c r="D6" s="5"/>
      <c r="E6" s="33"/>
      <c r="F6" s="12"/>
      <c r="G6" s="12"/>
      <c r="H6" s="12"/>
      <c r="I6" s="12"/>
      <c r="J6" s="12"/>
      <c r="K6" s="12"/>
      <c r="M6" s="12"/>
      <c r="N6" s="12"/>
      <c r="O6" s="12"/>
      <c r="P6" s="12"/>
      <c r="Q6" s="6"/>
    </row>
    <row r="7" spans="2:17" ht="72" customHeight="1" x14ac:dyDescent="0.35">
      <c r="B7" s="4"/>
      <c r="C7" s="363" t="s">
        <v>1</v>
      </c>
      <c r="D7" s="363"/>
      <c r="F7" s="41"/>
      <c r="G7" s="41"/>
      <c r="H7" s="156"/>
      <c r="I7" s="41"/>
      <c r="J7" s="41"/>
      <c r="L7" s="41"/>
      <c r="M7" s="41"/>
      <c r="N7" s="41"/>
      <c r="O7" s="41"/>
      <c r="Q7" s="6"/>
    </row>
    <row r="8" spans="2:17" ht="85.5" customHeight="1" x14ac:dyDescent="0.25">
      <c r="B8" s="4"/>
      <c r="C8" s="337" t="s">
        <v>2</v>
      </c>
      <c r="D8" s="337"/>
      <c r="E8" s="337"/>
      <c r="F8" s="337"/>
      <c r="G8" s="337"/>
      <c r="H8" s="337"/>
      <c r="I8" s="337"/>
      <c r="J8" s="337"/>
      <c r="K8" s="337"/>
      <c r="L8" s="337"/>
      <c r="M8" s="337"/>
      <c r="N8" s="337"/>
      <c r="O8" s="337"/>
      <c r="P8" s="337"/>
      <c r="Q8" s="6"/>
    </row>
    <row r="9" spans="2:17" ht="23.15" customHeight="1" x14ac:dyDescent="0.25">
      <c r="B9" s="4"/>
      <c r="C9" s="337" t="s">
        <v>3</v>
      </c>
      <c r="D9" s="337"/>
      <c r="E9" s="337"/>
      <c r="F9" s="337"/>
      <c r="G9" s="337"/>
      <c r="H9" s="337"/>
      <c r="I9" s="337"/>
      <c r="J9" s="337"/>
      <c r="K9" s="337"/>
      <c r="L9" s="337"/>
      <c r="M9" s="337"/>
      <c r="N9" s="337"/>
      <c r="O9" s="337"/>
      <c r="P9" s="337"/>
      <c r="Q9" s="6"/>
    </row>
    <row r="10" spans="2:17" ht="16" customHeight="1" x14ac:dyDescent="0.25">
      <c r="B10" s="4"/>
      <c r="C10" s="337"/>
      <c r="D10" s="337"/>
      <c r="E10" s="337"/>
      <c r="F10" s="337"/>
      <c r="G10" s="337"/>
      <c r="H10" s="337"/>
      <c r="I10" s="337"/>
      <c r="J10" s="337"/>
      <c r="K10" s="337"/>
      <c r="L10" s="337"/>
      <c r="M10" s="337"/>
      <c r="N10" s="337"/>
      <c r="O10" s="337"/>
      <c r="P10" s="337"/>
      <c r="Q10" s="6"/>
    </row>
    <row r="11" spans="2:17" ht="49" customHeight="1" x14ac:dyDescent="0.25">
      <c r="B11" s="4"/>
      <c r="C11" s="337" t="s">
        <v>4</v>
      </c>
      <c r="D11" s="337"/>
      <c r="E11" s="337"/>
      <c r="F11" s="337"/>
      <c r="G11" s="337"/>
      <c r="H11" s="337"/>
      <c r="I11" s="337"/>
      <c r="J11" s="337"/>
      <c r="K11" s="337"/>
      <c r="L11" s="337"/>
      <c r="M11" s="337"/>
      <c r="N11" s="337"/>
      <c r="O11" s="337"/>
      <c r="P11" s="337"/>
      <c r="Q11" s="6"/>
    </row>
    <row r="12" spans="2:17" ht="34" customHeight="1" x14ac:dyDescent="0.25">
      <c r="B12" s="4"/>
      <c r="C12" s="337" t="s">
        <v>5</v>
      </c>
      <c r="D12" s="337"/>
      <c r="E12" s="337"/>
      <c r="F12" s="337"/>
      <c r="G12" s="337"/>
      <c r="H12" s="337"/>
      <c r="I12" s="337"/>
      <c r="J12" s="337"/>
      <c r="K12" s="337"/>
      <c r="L12" s="337"/>
      <c r="M12" s="337"/>
      <c r="N12" s="337"/>
      <c r="O12" s="337"/>
      <c r="P12" s="337"/>
      <c r="Q12" s="6"/>
    </row>
    <row r="13" spans="2:17" ht="15.65" customHeight="1" x14ac:dyDescent="0.25">
      <c r="B13" s="4"/>
      <c r="C13" s="337" t="s">
        <v>6</v>
      </c>
      <c r="D13" s="337"/>
      <c r="E13" s="337"/>
      <c r="F13" s="337"/>
      <c r="G13" s="337"/>
      <c r="H13" s="337"/>
      <c r="I13" s="337"/>
      <c r="J13" s="337"/>
      <c r="K13" s="337"/>
      <c r="L13" s="337"/>
      <c r="M13" s="337"/>
      <c r="N13" s="337"/>
      <c r="O13" s="337"/>
      <c r="P13" s="337"/>
      <c r="Q13" s="6"/>
    </row>
    <row r="14" spans="2:17" ht="129.65" customHeight="1" x14ac:dyDescent="0.25">
      <c r="B14" s="4"/>
      <c r="C14" s="337"/>
      <c r="D14" s="337"/>
      <c r="E14" s="337"/>
      <c r="F14" s="337"/>
      <c r="G14" s="337"/>
      <c r="H14" s="337"/>
      <c r="I14" s="337"/>
      <c r="J14" s="337"/>
      <c r="K14" s="337"/>
      <c r="L14" s="337"/>
      <c r="M14" s="337"/>
      <c r="N14" s="337"/>
      <c r="O14" s="337"/>
      <c r="P14" s="337"/>
      <c r="Q14" s="6"/>
    </row>
    <row r="15" spans="2:17" ht="17.149999999999999" customHeight="1" x14ac:dyDescent="0.25">
      <c r="B15" s="4"/>
      <c r="C15" s="73" t="s">
        <v>7</v>
      </c>
      <c r="D15" s="288"/>
      <c r="E15" s="288"/>
      <c r="F15" s="288"/>
      <c r="G15" s="288"/>
      <c r="H15" s="288"/>
      <c r="I15" s="288"/>
      <c r="J15" s="288"/>
      <c r="K15" s="278"/>
      <c r="L15" s="278"/>
      <c r="M15" s="278"/>
      <c r="N15" s="278"/>
      <c r="O15" s="278"/>
      <c r="P15" s="278"/>
      <c r="Q15" s="6"/>
    </row>
    <row r="16" spans="2:17" ht="5.15" customHeight="1" x14ac:dyDescent="0.25">
      <c r="B16" s="4"/>
      <c r="C16" s="42"/>
      <c r="D16" s="288"/>
      <c r="E16" s="288"/>
      <c r="F16" s="288"/>
      <c r="G16" s="288"/>
      <c r="H16" s="288"/>
      <c r="I16" s="288"/>
      <c r="J16" s="288"/>
      <c r="K16" s="278"/>
      <c r="L16" s="278"/>
      <c r="M16" s="278"/>
      <c r="N16" s="278"/>
      <c r="O16" s="278"/>
      <c r="P16" s="278"/>
      <c r="Q16" s="6"/>
    </row>
    <row r="17" spans="2:17" ht="42.65" customHeight="1" x14ac:dyDescent="0.25">
      <c r="B17" s="4"/>
      <c r="C17" s="337" t="s">
        <v>8</v>
      </c>
      <c r="D17" s="337"/>
      <c r="E17" s="337"/>
      <c r="F17" s="337"/>
      <c r="G17" s="337"/>
      <c r="H17" s="337"/>
      <c r="I17" s="337"/>
      <c r="J17" s="337"/>
      <c r="K17" s="337"/>
      <c r="L17" s="337"/>
      <c r="M17" s="337"/>
      <c r="N17" s="337"/>
      <c r="O17" s="337"/>
      <c r="P17" s="337"/>
      <c r="Q17" s="6"/>
    </row>
    <row r="18" spans="2:17" ht="16" customHeight="1" x14ac:dyDescent="0.25">
      <c r="B18" s="4"/>
      <c r="C18" s="359" t="s">
        <v>9</v>
      </c>
      <c r="D18" s="359"/>
      <c r="E18" s="359"/>
      <c r="F18" s="359"/>
      <c r="G18" s="359"/>
      <c r="H18" s="359"/>
      <c r="I18" s="359"/>
      <c r="J18" s="359"/>
      <c r="K18" s="359"/>
      <c r="L18" s="359"/>
      <c r="M18" s="359"/>
      <c r="N18" s="278"/>
      <c r="O18" s="278"/>
      <c r="P18" s="278"/>
      <c r="Q18" s="6"/>
    </row>
    <row r="19" spans="2:17" ht="43.5" customHeight="1" x14ac:dyDescent="0.25">
      <c r="B19" s="4"/>
      <c r="C19" s="337" t="s">
        <v>10</v>
      </c>
      <c r="D19" s="337"/>
      <c r="E19" s="337"/>
      <c r="F19" s="337"/>
      <c r="G19" s="337"/>
      <c r="H19" s="337"/>
      <c r="I19" s="337"/>
      <c r="J19" s="337"/>
      <c r="K19" s="337"/>
      <c r="L19" s="337"/>
      <c r="M19" s="337"/>
      <c r="N19" s="337"/>
      <c r="O19" s="337"/>
      <c r="P19" s="337"/>
      <c r="Q19" s="6"/>
    </row>
    <row r="20" spans="2:17" ht="86.5" customHeight="1" x14ac:dyDescent="0.25">
      <c r="B20" s="4"/>
      <c r="C20" s="337" t="s">
        <v>11</v>
      </c>
      <c r="D20" s="337"/>
      <c r="E20" s="337"/>
      <c r="F20" s="337"/>
      <c r="G20" s="337"/>
      <c r="H20" s="337"/>
      <c r="I20" s="337"/>
      <c r="J20" s="337"/>
      <c r="K20" s="337"/>
      <c r="L20" s="337"/>
      <c r="M20" s="337"/>
      <c r="N20" s="337"/>
      <c r="O20" s="337"/>
      <c r="P20" s="337"/>
      <c r="Q20" s="6"/>
    </row>
    <row r="21" spans="2:17" ht="20.149999999999999" customHeight="1" x14ac:dyDescent="0.25">
      <c r="B21" s="4"/>
      <c r="C21" s="359" t="s">
        <v>12</v>
      </c>
      <c r="D21" s="359"/>
      <c r="E21" s="359"/>
      <c r="F21" s="359"/>
      <c r="G21" s="359"/>
      <c r="H21" s="359"/>
      <c r="I21" s="359"/>
      <c r="J21" s="359"/>
      <c r="K21" s="359"/>
      <c r="L21" s="359"/>
      <c r="M21" s="359"/>
      <c r="N21" s="278"/>
      <c r="O21" s="278"/>
      <c r="P21" s="278"/>
      <c r="Q21" s="6"/>
    </row>
    <row r="22" spans="2:17" ht="16" customHeight="1" x14ac:dyDescent="0.25">
      <c r="B22" s="4"/>
      <c r="C22" s="359" t="s">
        <v>13</v>
      </c>
      <c r="D22" s="359"/>
      <c r="E22" s="359"/>
      <c r="F22" s="359"/>
      <c r="G22" s="359"/>
      <c r="H22" s="359"/>
      <c r="I22" s="359"/>
      <c r="J22" s="359"/>
      <c r="K22" s="359"/>
      <c r="L22" s="359"/>
      <c r="M22" s="359"/>
      <c r="N22" s="278"/>
      <c r="O22" s="278"/>
      <c r="P22" s="278"/>
      <c r="Q22" s="6"/>
    </row>
    <row r="23" spans="2:17" ht="9.65" customHeight="1" x14ac:dyDescent="0.25">
      <c r="B23" s="4"/>
      <c r="C23" s="283"/>
      <c r="D23" s="283"/>
      <c r="E23" s="283"/>
      <c r="F23" s="283"/>
      <c r="G23" s="283"/>
      <c r="H23" s="283"/>
      <c r="I23" s="283"/>
      <c r="J23" s="283"/>
      <c r="K23" s="283"/>
      <c r="L23" s="283"/>
      <c r="M23" s="283"/>
      <c r="N23" s="283"/>
      <c r="O23" s="283"/>
      <c r="P23" s="283"/>
      <c r="Q23" s="6"/>
    </row>
    <row r="24" spans="2:17" ht="14.5" x14ac:dyDescent="0.25">
      <c r="B24" s="4"/>
      <c r="C24" s="339" t="s">
        <v>14</v>
      </c>
      <c r="D24" s="339"/>
      <c r="E24" s="288"/>
      <c r="F24" s="288"/>
      <c r="G24" s="288"/>
      <c r="H24" s="288"/>
      <c r="I24" s="288"/>
      <c r="J24" s="288"/>
      <c r="K24" s="288"/>
      <c r="L24" s="288"/>
      <c r="M24" s="288"/>
      <c r="N24" s="288"/>
      <c r="O24" s="288"/>
      <c r="P24" s="288"/>
      <c r="Q24" s="6"/>
    </row>
    <row r="25" spans="2:17" ht="5.5" customHeight="1" x14ac:dyDescent="0.25">
      <c r="B25" s="4"/>
      <c r="C25" s="288"/>
      <c r="D25" s="288"/>
      <c r="E25" s="288"/>
      <c r="F25" s="288"/>
      <c r="G25" s="288"/>
      <c r="H25" s="288"/>
      <c r="I25" s="288"/>
      <c r="J25" s="288"/>
      <c r="K25" s="288"/>
      <c r="L25" s="288"/>
      <c r="M25" s="288"/>
      <c r="N25" s="288"/>
      <c r="O25" s="288"/>
      <c r="P25" s="288"/>
      <c r="Q25" s="6"/>
    </row>
    <row r="26" spans="2:17" ht="14" x14ac:dyDescent="0.25">
      <c r="B26" s="4"/>
      <c r="C26" s="359" t="s">
        <v>15</v>
      </c>
      <c r="D26" s="359"/>
      <c r="E26" s="359"/>
      <c r="F26" s="359"/>
      <c r="G26" s="359"/>
      <c r="H26" s="359"/>
      <c r="I26" s="359"/>
      <c r="J26" s="359"/>
      <c r="K26" s="359"/>
      <c r="L26" s="359"/>
      <c r="M26" s="288"/>
      <c r="N26" s="288"/>
      <c r="O26" s="288"/>
      <c r="P26" s="288"/>
      <c r="Q26" s="6"/>
    </row>
    <row r="27" spans="2:17" ht="14" x14ac:dyDescent="0.25">
      <c r="B27" s="4"/>
      <c r="C27" s="278"/>
      <c r="D27" s="288"/>
      <c r="E27" s="288"/>
      <c r="F27" s="288"/>
      <c r="G27" s="288"/>
      <c r="H27" s="288"/>
      <c r="I27" s="288"/>
      <c r="J27" s="288"/>
      <c r="K27" s="288"/>
      <c r="L27" s="288"/>
      <c r="M27" s="288"/>
      <c r="N27" s="288"/>
      <c r="O27" s="288"/>
      <c r="P27" s="288"/>
      <c r="Q27" s="6"/>
    </row>
    <row r="28" spans="2:17" ht="14" x14ac:dyDescent="0.25">
      <c r="B28" s="4"/>
      <c r="C28" s="197"/>
      <c r="D28" s="288"/>
      <c r="E28" s="359" t="s">
        <v>491</v>
      </c>
      <c r="F28" s="359"/>
      <c r="G28" s="359"/>
      <c r="H28" s="359"/>
      <c r="I28" s="359"/>
      <c r="J28" s="359"/>
      <c r="K28" s="359"/>
      <c r="L28" s="359"/>
      <c r="M28" s="288"/>
      <c r="N28" s="288"/>
      <c r="O28" s="288"/>
      <c r="P28" s="288"/>
      <c r="Q28" s="6"/>
    </row>
    <row r="29" spans="2:17" ht="14" x14ac:dyDescent="0.25">
      <c r="B29" s="4"/>
      <c r="C29" s="43"/>
      <c r="D29" s="288"/>
      <c r="E29" s="359" t="s">
        <v>16</v>
      </c>
      <c r="F29" s="359"/>
      <c r="G29" s="359"/>
      <c r="H29" s="359"/>
      <c r="I29" s="359"/>
      <c r="J29" s="359"/>
      <c r="K29" s="359"/>
      <c r="L29" s="359"/>
      <c r="M29" s="288"/>
      <c r="N29" s="288"/>
      <c r="O29" s="288"/>
      <c r="P29" s="288"/>
      <c r="Q29" s="6"/>
    </row>
    <row r="30" spans="2:17" ht="14" x14ac:dyDescent="0.25">
      <c r="B30" s="4"/>
      <c r="C30" s="288"/>
      <c r="D30" s="288"/>
      <c r="E30" s="288"/>
      <c r="F30" s="288"/>
      <c r="G30" s="288"/>
      <c r="H30" s="288"/>
      <c r="I30" s="288"/>
      <c r="J30" s="288"/>
      <c r="K30" s="288"/>
      <c r="L30" s="288"/>
      <c r="M30" s="288"/>
      <c r="N30" s="288"/>
      <c r="O30" s="288"/>
      <c r="P30" s="288"/>
      <c r="Q30" s="6"/>
    </row>
    <row r="31" spans="2:17" ht="14.5" x14ac:dyDescent="0.25">
      <c r="B31" s="4"/>
      <c r="C31" s="339" t="s">
        <v>17</v>
      </c>
      <c r="D31" s="339"/>
      <c r="E31" s="42"/>
      <c r="F31" s="42"/>
      <c r="G31" s="42"/>
      <c r="H31" s="42"/>
      <c r="I31" s="42"/>
      <c r="J31" s="42"/>
      <c r="K31" s="42"/>
      <c r="L31" s="42"/>
      <c r="M31" s="42"/>
      <c r="N31" s="42"/>
      <c r="O31" s="42"/>
      <c r="P31" s="42"/>
      <c r="Q31" s="6"/>
    </row>
    <row r="32" spans="2:17" ht="13.5" customHeight="1" x14ac:dyDescent="0.25">
      <c r="B32" s="4"/>
      <c r="C32" s="44"/>
      <c r="D32" s="44"/>
      <c r="E32" s="44"/>
      <c r="F32" s="44"/>
      <c r="G32" s="44"/>
      <c r="H32" s="44"/>
      <c r="I32" s="44"/>
      <c r="J32" s="44"/>
      <c r="K32" s="44"/>
      <c r="L32" s="44"/>
      <c r="M32" s="44"/>
      <c r="N32" s="44"/>
      <c r="O32" s="44"/>
      <c r="P32" s="44"/>
      <c r="Q32" s="6"/>
    </row>
    <row r="33" spans="2:17" ht="187" customHeight="1" x14ac:dyDescent="0.25">
      <c r="B33" s="4"/>
      <c r="C33" s="337" t="s">
        <v>18</v>
      </c>
      <c r="D33" s="337"/>
      <c r="E33" s="337"/>
      <c r="F33" s="337"/>
      <c r="G33" s="337"/>
      <c r="H33" s="337"/>
      <c r="I33" s="337"/>
      <c r="J33" s="337"/>
      <c r="K33" s="337"/>
      <c r="L33" s="337"/>
      <c r="M33" s="337"/>
      <c r="N33" s="337"/>
      <c r="O33" s="337"/>
      <c r="P33" s="337"/>
      <c r="Q33" s="6"/>
    </row>
    <row r="34" spans="2:17" ht="14.5" x14ac:dyDescent="0.25">
      <c r="B34" s="4"/>
      <c r="C34" s="339" t="s">
        <v>19</v>
      </c>
      <c r="D34" s="339"/>
      <c r="E34" s="42"/>
      <c r="F34" s="42"/>
      <c r="G34" s="42"/>
      <c r="H34" s="42"/>
      <c r="I34" s="42"/>
      <c r="J34" s="42"/>
      <c r="K34" s="42"/>
      <c r="L34" s="42"/>
      <c r="M34" s="42"/>
      <c r="N34" s="42"/>
      <c r="O34" s="42"/>
      <c r="P34" s="42"/>
      <c r="Q34" s="6"/>
    </row>
    <row r="35" spans="2:17" ht="4" customHeight="1" x14ac:dyDescent="0.25">
      <c r="B35" s="4"/>
      <c r="C35" s="42"/>
      <c r="D35" s="42"/>
      <c r="E35" s="42"/>
      <c r="F35" s="42"/>
      <c r="G35" s="42"/>
      <c r="H35" s="42"/>
      <c r="I35" s="42"/>
      <c r="J35" s="42"/>
      <c r="K35" s="42"/>
      <c r="L35" s="42"/>
      <c r="M35" s="42"/>
      <c r="N35" s="42"/>
      <c r="O35" s="42"/>
      <c r="P35" s="42"/>
      <c r="Q35" s="6"/>
    </row>
    <row r="36" spans="2:17" ht="55" customHeight="1" x14ac:dyDescent="0.25">
      <c r="B36" s="4"/>
      <c r="C36" s="355" t="s">
        <v>20</v>
      </c>
      <c r="D36" s="355"/>
      <c r="E36" s="355"/>
      <c r="F36" s="355"/>
      <c r="G36" s="355"/>
      <c r="H36" s="355"/>
      <c r="I36" s="355"/>
      <c r="J36" s="355"/>
      <c r="K36" s="355"/>
      <c r="L36" s="355"/>
      <c r="M36" s="355"/>
      <c r="N36" s="355"/>
      <c r="O36" s="355"/>
      <c r="P36" s="355"/>
      <c r="Q36" s="6"/>
    </row>
    <row r="37" spans="2:17" ht="8.5" customHeight="1" x14ac:dyDescent="0.25">
      <c r="B37" s="4"/>
      <c r="C37" s="42"/>
      <c r="D37" s="42"/>
      <c r="E37" s="42"/>
      <c r="F37" s="42"/>
      <c r="G37" s="42"/>
      <c r="H37" s="42"/>
      <c r="I37" s="42"/>
      <c r="J37" s="42"/>
      <c r="K37" s="42"/>
      <c r="L37" s="42"/>
      <c r="M37" s="42"/>
      <c r="N37" s="42"/>
      <c r="O37" s="42"/>
      <c r="P37" s="42"/>
      <c r="Q37" s="6"/>
    </row>
    <row r="38" spans="2:17" ht="14.5" x14ac:dyDescent="0.25">
      <c r="B38" s="4"/>
      <c r="C38" s="339" t="s">
        <v>21</v>
      </c>
      <c r="D38" s="339"/>
      <c r="E38" s="42"/>
      <c r="F38" s="42"/>
      <c r="G38" s="42"/>
      <c r="H38" s="42"/>
      <c r="I38" s="42"/>
      <c r="J38" s="42"/>
      <c r="K38" s="42"/>
      <c r="L38" s="42"/>
      <c r="M38" s="42"/>
      <c r="N38" s="42"/>
      <c r="O38" s="42"/>
      <c r="P38" s="42"/>
      <c r="Q38" s="6"/>
    </row>
    <row r="39" spans="2:17" ht="3" customHeight="1" x14ac:dyDescent="0.25">
      <c r="B39" s="4"/>
      <c r="C39" s="42"/>
      <c r="D39" s="42"/>
      <c r="E39" s="42"/>
      <c r="F39" s="42"/>
      <c r="G39" s="42"/>
      <c r="H39" s="42"/>
      <c r="I39" s="42"/>
      <c r="J39" s="42"/>
      <c r="K39" s="42"/>
      <c r="L39" s="42"/>
      <c r="M39" s="42"/>
      <c r="N39" s="42"/>
      <c r="O39" s="42"/>
      <c r="P39" s="42"/>
      <c r="Q39" s="6"/>
    </row>
    <row r="40" spans="2:17" ht="75.650000000000006" customHeight="1" x14ac:dyDescent="0.25">
      <c r="B40" s="4"/>
      <c r="C40" s="337" t="s">
        <v>22</v>
      </c>
      <c r="D40" s="337"/>
      <c r="E40" s="337"/>
      <c r="F40" s="337"/>
      <c r="G40" s="337"/>
      <c r="H40" s="337"/>
      <c r="I40" s="337"/>
      <c r="J40" s="337"/>
      <c r="K40" s="337"/>
      <c r="L40" s="337"/>
      <c r="M40" s="337"/>
      <c r="N40" s="337"/>
      <c r="O40" s="337"/>
      <c r="P40" s="337"/>
      <c r="Q40" s="6"/>
    </row>
    <row r="41" spans="2:17" ht="4.5" customHeight="1" x14ac:dyDescent="0.25">
      <c r="B41" s="4"/>
      <c r="C41" s="42"/>
      <c r="D41" s="42"/>
      <c r="E41" s="42"/>
      <c r="F41" s="42"/>
      <c r="G41" s="42"/>
      <c r="H41" s="42"/>
      <c r="I41" s="42"/>
      <c r="J41" s="42"/>
      <c r="K41" s="42"/>
      <c r="L41" s="42"/>
      <c r="M41" s="42"/>
      <c r="N41" s="42"/>
      <c r="O41" s="42"/>
      <c r="P41" s="42"/>
      <c r="Q41" s="6"/>
    </row>
    <row r="42" spans="2:17" ht="19.5" customHeight="1" x14ac:dyDescent="0.25">
      <c r="B42" s="4"/>
      <c r="C42" s="339" t="s">
        <v>23</v>
      </c>
      <c r="D42" s="339"/>
      <c r="E42" s="42"/>
      <c r="F42" s="42"/>
      <c r="G42" s="42"/>
      <c r="H42" s="42"/>
      <c r="I42" s="42"/>
      <c r="J42" s="42"/>
      <c r="K42" s="42"/>
      <c r="L42" s="42"/>
      <c r="M42" s="42"/>
      <c r="N42" s="42"/>
      <c r="O42" s="42"/>
      <c r="P42" s="42"/>
      <c r="Q42" s="6"/>
    </row>
    <row r="43" spans="2:17" ht="5.15" customHeight="1" x14ac:dyDescent="0.25">
      <c r="B43" s="4"/>
      <c r="C43" s="42"/>
      <c r="D43" s="42"/>
      <c r="E43" s="42"/>
      <c r="F43" s="42"/>
      <c r="G43" s="42"/>
      <c r="H43" s="42"/>
      <c r="I43" s="42"/>
      <c r="J43" s="42"/>
      <c r="K43" s="42"/>
      <c r="L43" s="42"/>
      <c r="M43" s="42"/>
      <c r="N43" s="42"/>
      <c r="O43" s="42"/>
      <c r="P43" s="42"/>
      <c r="Q43" s="6"/>
    </row>
    <row r="44" spans="2:17" ht="57" customHeight="1" x14ac:dyDescent="0.25">
      <c r="B44" s="4"/>
      <c r="C44" s="337" t="s">
        <v>490</v>
      </c>
      <c r="D44" s="337"/>
      <c r="E44" s="337"/>
      <c r="F44" s="337"/>
      <c r="G44" s="337"/>
      <c r="H44" s="337"/>
      <c r="I44" s="337"/>
      <c r="J44" s="337"/>
      <c r="K44" s="337"/>
      <c r="L44" s="337"/>
      <c r="M44" s="337"/>
      <c r="N44" s="337"/>
      <c r="O44" s="337"/>
      <c r="P44" s="337"/>
      <c r="Q44" s="6"/>
    </row>
    <row r="45" spans="2:17" ht="5.25" customHeight="1" x14ac:dyDescent="0.25">
      <c r="B45" s="4"/>
      <c r="C45" s="42"/>
      <c r="D45" s="42"/>
      <c r="E45" s="42"/>
      <c r="F45" s="42"/>
      <c r="G45" s="42"/>
      <c r="H45" s="42"/>
      <c r="I45" s="42"/>
      <c r="J45" s="42"/>
      <c r="K45" s="42"/>
      <c r="L45" s="42"/>
      <c r="M45" s="42"/>
      <c r="N45" s="42"/>
      <c r="O45" s="42"/>
      <c r="P45" s="42"/>
      <c r="Q45" s="6"/>
    </row>
    <row r="46" spans="2:17" ht="14.5" x14ac:dyDescent="0.25">
      <c r="B46" s="4"/>
      <c r="C46" s="339" t="s">
        <v>24</v>
      </c>
      <c r="D46" s="339"/>
      <c r="E46" s="339"/>
      <c r="F46" s="42"/>
      <c r="G46" s="42"/>
      <c r="H46" s="42"/>
      <c r="I46" s="42"/>
      <c r="J46" s="42"/>
      <c r="K46" s="42"/>
      <c r="L46" s="42"/>
      <c r="M46" s="42"/>
      <c r="N46" s="42"/>
      <c r="O46" s="42"/>
      <c r="P46" s="42"/>
      <c r="Q46" s="6"/>
    </row>
    <row r="47" spans="2:17" ht="4.5" customHeight="1" x14ac:dyDescent="0.25">
      <c r="B47" s="4"/>
      <c r="C47" s="42"/>
      <c r="D47" s="42"/>
      <c r="E47" s="42"/>
      <c r="F47" s="42"/>
      <c r="G47" s="42"/>
      <c r="H47" s="42"/>
      <c r="I47" s="42"/>
      <c r="J47" s="42"/>
      <c r="K47" s="42"/>
      <c r="L47" s="42"/>
      <c r="M47" s="42"/>
      <c r="N47" s="42"/>
      <c r="O47" s="42"/>
      <c r="P47" s="42"/>
      <c r="Q47" s="6"/>
    </row>
    <row r="48" spans="2:17" ht="102" customHeight="1" x14ac:dyDescent="0.25">
      <c r="B48" s="4"/>
      <c r="C48" s="337" t="s">
        <v>25</v>
      </c>
      <c r="D48" s="337"/>
      <c r="E48" s="337"/>
      <c r="F48" s="337"/>
      <c r="G48" s="337"/>
      <c r="H48" s="337"/>
      <c r="I48" s="337"/>
      <c r="J48" s="337"/>
      <c r="K48" s="337"/>
      <c r="L48" s="337"/>
      <c r="M48" s="337"/>
      <c r="N48" s="337"/>
      <c r="O48" s="337"/>
      <c r="P48" s="337"/>
      <c r="Q48" s="6"/>
    </row>
    <row r="49" spans="2:17" ht="4.5" customHeight="1" x14ac:dyDescent="0.25">
      <c r="B49" s="4"/>
      <c r="C49" s="288"/>
      <c r="D49" s="288"/>
      <c r="E49" s="288"/>
      <c r="F49" s="288"/>
      <c r="G49" s="288"/>
      <c r="H49" s="288"/>
      <c r="I49" s="288"/>
      <c r="J49" s="288"/>
      <c r="K49" s="288"/>
      <c r="L49" s="288"/>
      <c r="M49" s="288"/>
      <c r="N49" s="288"/>
      <c r="O49" s="288"/>
      <c r="P49" s="288"/>
      <c r="Q49" s="6"/>
    </row>
    <row r="50" spans="2:17" ht="14.5" x14ac:dyDescent="0.25">
      <c r="B50" s="4"/>
      <c r="C50" s="339" t="s">
        <v>26</v>
      </c>
      <c r="D50" s="339"/>
      <c r="E50" s="339"/>
      <c r="F50" s="288"/>
      <c r="G50" s="288"/>
      <c r="H50" s="288"/>
      <c r="I50" s="288"/>
      <c r="J50" s="288"/>
      <c r="K50" s="288"/>
      <c r="L50" s="288"/>
      <c r="M50" s="288"/>
      <c r="N50" s="288"/>
      <c r="O50" s="288"/>
      <c r="P50" s="288"/>
      <c r="Q50" s="6"/>
    </row>
    <row r="51" spans="2:17" ht="4.5" customHeight="1" x14ac:dyDescent="0.25">
      <c r="B51" s="4"/>
      <c r="C51" s="42"/>
      <c r="D51" s="288"/>
      <c r="E51" s="288"/>
      <c r="F51" s="288"/>
      <c r="G51" s="288"/>
      <c r="H51" s="288"/>
      <c r="I51" s="288"/>
      <c r="J51" s="288"/>
      <c r="K51" s="288"/>
      <c r="L51" s="288"/>
      <c r="M51" s="288"/>
      <c r="N51" s="288"/>
      <c r="O51" s="288"/>
      <c r="P51" s="288"/>
      <c r="Q51" s="6"/>
    </row>
    <row r="52" spans="2:17" ht="78.650000000000006" customHeight="1" x14ac:dyDescent="0.25">
      <c r="B52" s="4"/>
      <c r="C52" s="337" t="s">
        <v>27</v>
      </c>
      <c r="D52" s="337"/>
      <c r="E52" s="337"/>
      <c r="F52" s="337"/>
      <c r="G52" s="337"/>
      <c r="H52" s="337"/>
      <c r="I52" s="337"/>
      <c r="J52" s="337"/>
      <c r="K52" s="337"/>
      <c r="L52" s="337"/>
      <c r="M52" s="337"/>
      <c r="N52" s="337"/>
      <c r="O52" s="337"/>
      <c r="P52" s="337"/>
      <c r="Q52" s="6"/>
    </row>
    <row r="53" spans="2:17" ht="3.65" customHeight="1" x14ac:dyDescent="0.25">
      <c r="B53" s="4"/>
      <c r="C53" s="283"/>
      <c r="D53" s="283"/>
      <c r="E53" s="283"/>
      <c r="F53" s="283"/>
      <c r="G53" s="283"/>
      <c r="H53" s="283"/>
      <c r="I53" s="283"/>
      <c r="J53" s="283"/>
      <c r="K53" s="283"/>
      <c r="L53" s="283"/>
      <c r="M53" s="283"/>
      <c r="N53" s="283"/>
      <c r="O53" s="283"/>
      <c r="P53" s="283"/>
      <c r="Q53" s="6"/>
    </row>
    <row r="54" spans="2:17" ht="15.65" hidden="1" customHeight="1" x14ac:dyDescent="0.25">
      <c r="B54" s="4"/>
      <c r="C54" s="339" t="s">
        <v>26</v>
      </c>
      <c r="D54" s="339"/>
      <c r="E54" s="339"/>
      <c r="F54" s="283"/>
      <c r="G54" s="283"/>
      <c r="H54" s="283"/>
      <c r="I54" s="283"/>
      <c r="J54" s="283"/>
      <c r="K54" s="283"/>
      <c r="L54" s="283"/>
      <c r="M54" s="283"/>
      <c r="N54" s="283"/>
      <c r="O54" s="283"/>
      <c r="P54" s="283"/>
      <c r="Q54" s="6"/>
    </row>
    <row r="55" spans="2:17" ht="9" hidden="1" customHeight="1" x14ac:dyDescent="0.25">
      <c r="B55" s="4"/>
      <c r="C55" s="283"/>
      <c r="D55" s="283"/>
      <c r="E55" s="283"/>
      <c r="F55" s="283"/>
      <c r="G55" s="283"/>
      <c r="H55" s="283"/>
      <c r="I55" s="283"/>
      <c r="J55" s="283"/>
      <c r="K55" s="283"/>
      <c r="L55" s="283"/>
      <c r="M55" s="283"/>
      <c r="N55" s="283"/>
      <c r="O55" s="283"/>
      <c r="P55" s="283"/>
      <c r="Q55" s="6"/>
    </row>
    <row r="56" spans="2:17" ht="78.650000000000006" hidden="1" customHeight="1" x14ac:dyDescent="0.25">
      <c r="B56" s="4"/>
      <c r="C56" s="337" t="s">
        <v>28</v>
      </c>
      <c r="D56" s="337"/>
      <c r="E56" s="337"/>
      <c r="F56" s="337"/>
      <c r="G56" s="337"/>
      <c r="H56" s="337"/>
      <c r="I56" s="337"/>
      <c r="J56" s="337"/>
      <c r="K56" s="337"/>
      <c r="L56" s="337"/>
      <c r="M56" s="337"/>
      <c r="N56" s="337"/>
      <c r="O56" s="337"/>
      <c r="P56" s="337"/>
      <c r="Q56" s="6"/>
    </row>
    <row r="57" spans="2:17" ht="7" hidden="1" customHeight="1" x14ac:dyDescent="0.25">
      <c r="B57" s="4"/>
      <c r="C57" s="288"/>
      <c r="D57" s="288"/>
      <c r="E57" s="288"/>
      <c r="F57" s="288"/>
      <c r="G57" s="288"/>
      <c r="H57" s="288"/>
      <c r="I57" s="288"/>
      <c r="J57" s="288"/>
      <c r="K57" s="288"/>
      <c r="L57" s="288"/>
      <c r="M57" s="288"/>
      <c r="N57" s="288"/>
      <c r="O57" s="288"/>
      <c r="P57" s="288"/>
      <c r="Q57" s="6"/>
    </row>
    <row r="58" spans="2:17" ht="14.5" hidden="1" x14ac:dyDescent="0.25">
      <c r="B58" s="4"/>
      <c r="C58" s="280" t="s">
        <v>29</v>
      </c>
      <c r="D58" s="280"/>
      <c r="E58" s="278"/>
      <c r="F58" s="278"/>
      <c r="G58" s="278"/>
      <c r="H58" s="288"/>
      <c r="I58" s="288"/>
      <c r="J58" s="288"/>
      <c r="K58" s="288"/>
      <c r="L58" s="288"/>
      <c r="M58" s="288"/>
      <c r="N58" s="288"/>
      <c r="O58" s="288"/>
      <c r="P58" s="288"/>
      <c r="Q58" s="6"/>
    </row>
    <row r="59" spans="2:17" ht="5.15" hidden="1" customHeight="1" x14ac:dyDescent="0.25">
      <c r="B59" s="4"/>
      <c r="C59" s="288"/>
      <c r="D59" s="288"/>
      <c r="E59" s="288"/>
      <c r="F59" s="288"/>
      <c r="G59" s="288"/>
      <c r="H59" s="288"/>
      <c r="I59" s="288"/>
      <c r="J59" s="288"/>
      <c r="K59" s="288"/>
      <c r="L59" s="288"/>
      <c r="M59" s="288"/>
      <c r="N59" s="288"/>
      <c r="O59" s="288"/>
      <c r="P59" s="288"/>
      <c r="Q59" s="6"/>
    </row>
    <row r="60" spans="2:17" ht="28.5" hidden="1" customHeight="1" x14ac:dyDescent="0.25">
      <c r="B60" s="4"/>
      <c r="C60" s="337" t="s">
        <v>30</v>
      </c>
      <c r="D60" s="337"/>
      <c r="E60" s="337"/>
      <c r="F60" s="337"/>
      <c r="G60" s="337"/>
      <c r="H60" s="337"/>
      <c r="I60" s="337"/>
      <c r="J60" s="337"/>
      <c r="K60" s="337"/>
      <c r="L60" s="337"/>
      <c r="M60" s="337"/>
      <c r="N60" s="337"/>
      <c r="O60" s="337"/>
      <c r="P60" s="337"/>
      <c r="Q60" s="6"/>
    </row>
    <row r="61" spans="2:17" ht="9.65" customHeight="1" x14ac:dyDescent="0.25">
      <c r="B61" s="4"/>
      <c r="C61" s="288"/>
      <c r="D61" s="288"/>
      <c r="E61" s="288"/>
      <c r="F61" s="288"/>
      <c r="G61" s="288"/>
      <c r="H61" s="288"/>
      <c r="I61" s="288"/>
      <c r="J61" s="288"/>
      <c r="K61" s="288"/>
      <c r="L61" s="288"/>
      <c r="M61" s="288"/>
      <c r="N61" s="288"/>
      <c r="O61" s="288"/>
      <c r="P61" s="288"/>
      <c r="Q61" s="6"/>
    </row>
    <row r="62" spans="2:17" ht="9.65" customHeight="1" x14ac:dyDescent="0.25">
      <c r="B62" s="4"/>
      <c r="C62" s="339" t="s">
        <v>31</v>
      </c>
      <c r="D62" s="339"/>
      <c r="E62" s="339"/>
      <c r="F62" s="288"/>
      <c r="G62" s="288"/>
      <c r="H62" s="288"/>
      <c r="I62" s="288"/>
      <c r="J62" s="288"/>
      <c r="K62" s="288"/>
      <c r="L62" s="288"/>
      <c r="M62" s="288"/>
      <c r="N62" s="288"/>
      <c r="O62" s="288"/>
      <c r="P62" s="288"/>
      <c r="Q62" s="6"/>
    </row>
    <row r="63" spans="2:17" ht="14" x14ac:dyDescent="0.25">
      <c r="B63" s="4"/>
      <c r="C63" s="359" t="s">
        <v>32</v>
      </c>
      <c r="D63" s="359"/>
      <c r="E63" s="359"/>
      <c r="F63" s="359"/>
      <c r="G63" s="359"/>
      <c r="H63" s="359"/>
      <c r="I63" s="359"/>
      <c r="J63" s="359"/>
      <c r="K63" s="359"/>
      <c r="L63" s="359"/>
      <c r="M63" s="359"/>
      <c r="N63" s="278"/>
      <c r="O63" s="278"/>
      <c r="P63" s="278"/>
      <c r="Q63" s="6"/>
    </row>
    <row r="64" spans="2:17" ht="14" x14ac:dyDescent="0.25">
      <c r="B64" s="4"/>
      <c r="C64" s="288"/>
      <c r="D64" s="288"/>
      <c r="E64" s="288"/>
      <c r="F64" s="288"/>
      <c r="G64" s="288"/>
      <c r="H64" s="288"/>
      <c r="I64" s="288"/>
      <c r="J64" s="288"/>
      <c r="K64" s="288"/>
      <c r="L64" s="288"/>
      <c r="M64" s="288"/>
      <c r="N64" s="288"/>
      <c r="O64" s="288"/>
      <c r="P64" s="288"/>
      <c r="Q64" s="6"/>
    </row>
    <row r="65" spans="2:17" ht="14" x14ac:dyDescent="0.25">
      <c r="B65" s="4"/>
      <c r="C65" s="340" t="s">
        <v>33</v>
      </c>
      <c r="D65" s="340"/>
      <c r="E65" s="340"/>
      <c r="F65" s="340"/>
      <c r="G65" s="340" t="s">
        <v>34</v>
      </c>
      <c r="H65" s="340"/>
      <c r="I65" s="340"/>
      <c r="J65" s="340"/>
      <c r="K65" s="340"/>
      <c r="L65" s="340"/>
      <c r="M65" s="340"/>
      <c r="N65" s="340"/>
      <c r="O65" s="340"/>
      <c r="P65" s="340"/>
      <c r="Q65" s="6"/>
    </row>
    <row r="66" spans="2:17" ht="42" customHeight="1" x14ac:dyDescent="0.25">
      <c r="B66" s="4"/>
      <c r="C66" s="345" t="s">
        <v>35</v>
      </c>
      <c r="D66" s="345"/>
      <c r="E66" s="345"/>
      <c r="F66" s="345"/>
      <c r="G66" s="346" t="s">
        <v>36</v>
      </c>
      <c r="H66" s="346"/>
      <c r="I66" s="346"/>
      <c r="J66" s="346"/>
      <c r="K66" s="346"/>
      <c r="L66" s="346"/>
      <c r="M66" s="346"/>
      <c r="N66" s="346"/>
      <c r="O66" s="346"/>
      <c r="P66" s="346"/>
      <c r="Q66" s="6"/>
    </row>
    <row r="67" spans="2:17" ht="44.15" customHeight="1" x14ac:dyDescent="0.25">
      <c r="B67" s="4"/>
      <c r="C67" s="360" t="s">
        <v>37</v>
      </c>
      <c r="D67" s="361"/>
      <c r="E67" s="361"/>
      <c r="F67" s="362"/>
      <c r="G67" s="377" t="s">
        <v>38</v>
      </c>
      <c r="H67" s="378"/>
      <c r="I67" s="378"/>
      <c r="J67" s="378"/>
      <c r="K67" s="378"/>
      <c r="L67" s="378"/>
      <c r="M67" s="378"/>
      <c r="N67" s="378"/>
      <c r="O67" s="378"/>
      <c r="P67" s="379"/>
      <c r="Q67" s="6"/>
    </row>
    <row r="68" spans="2:17" ht="29.5" customHeight="1" x14ac:dyDescent="0.25">
      <c r="B68" s="4"/>
      <c r="C68" s="360" t="s">
        <v>39</v>
      </c>
      <c r="D68" s="361"/>
      <c r="E68" s="361"/>
      <c r="F68" s="362"/>
      <c r="G68" s="377" t="s">
        <v>40</v>
      </c>
      <c r="H68" s="378"/>
      <c r="I68" s="378"/>
      <c r="J68" s="378"/>
      <c r="K68" s="378"/>
      <c r="L68" s="378"/>
      <c r="M68" s="378"/>
      <c r="N68" s="378"/>
      <c r="O68" s="378"/>
      <c r="P68" s="379"/>
      <c r="Q68" s="6"/>
    </row>
    <row r="69" spans="2:17" ht="68.25" customHeight="1" x14ac:dyDescent="0.25">
      <c r="B69" s="4"/>
      <c r="C69" s="360" t="s">
        <v>41</v>
      </c>
      <c r="D69" s="361"/>
      <c r="E69" s="361"/>
      <c r="F69" s="362"/>
      <c r="G69" s="377" t="s">
        <v>42</v>
      </c>
      <c r="H69" s="378"/>
      <c r="I69" s="378"/>
      <c r="J69" s="378"/>
      <c r="K69" s="378"/>
      <c r="L69" s="378"/>
      <c r="M69" s="378"/>
      <c r="N69" s="378"/>
      <c r="O69" s="378"/>
      <c r="P69" s="379"/>
      <c r="Q69" s="6"/>
    </row>
    <row r="70" spans="2:17" ht="26.5" customHeight="1" x14ac:dyDescent="0.25">
      <c r="B70" s="4"/>
      <c r="C70" s="360" t="s">
        <v>43</v>
      </c>
      <c r="D70" s="361"/>
      <c r="E70" s="361"/>
      <c r="F70" s="362"/>
      <c r="G70" s="377" t="s">
        <v>44</v>
      </c>
      <c r="H70" s="378"/>
      <c r="I70" s="378"/>
      <c r="J70" s="378"/>
      <c r="K70" s="378"/>
      <c r="L70" s="378"/>
      <c r="M70" s="378"/>
      <c r="N70" s="378"/>
      <c r="O70" s="378"/>
      <c r="P70" s="379"/>
      <c r="Q70" s="6"/>
    </row>
    <row r="71" spans="2:17" ht="28" customHeight="1" x14ac:dyDescent="0.25">
      <c r="B71" s="4"/>
      <c r="C71" s="370" t="s">
        <v>45</v>
      </c>
      <c r="D71" s="371"/>
      <c r="E71" s="371"/>
      <c r="F71" s="372"/>
      <c r="G71" s="347" t="s">
        <v>46</v>
      </c>
      <c r="H71" s="347"/>
      <c r="I71" s="347"/>
      <c r="J71" s="347"/>
      <c r="K71" s="347"/>
      <c r="L71" s="347"/>
      <c r="M71" s="347"/>
      <c r="N71" s="347"/>
      <c r="O71" s="347"/>
      <c r="P71" s="347"/>
      <c r="Q71" s="6"/>
    </row>
    <row r="72" spans="2:17" ht="15.75" customHeight="1" x14ac:dyDescent="0.25">
      <c r="B72" s="4"/>
      <c r="C72" s="345" t="s">
        <v>47</v>
      </c>
      <c r="D72" s="345"/>
      <c r="E72" s="345"/>
      <c r="F72" s="345"/>
      <c r="G72" s="345" t="s">
        <v>48</v>
      </c>
      <c r="H72" s="345"/>
      <c r="I72" s="345"/>
      <c r="J72" s="345"/>
      <c r="K72" s="345"/>
      <c r="L72" s="345"/>
      <c r="M72" s="345"/>
      <c r="N72" s="345"/>
      <c r="O72" s="345"/>
      <c r="P72" s="345"/>
      <c r="Q72" s="6"/>
    </row>
    <row r="73" spans="2:17" ht="28.5" customHeight="1" x14ac:dyDescent="0.25">
      <c r="B73" s="4"/>
      <c r="C73" s="360" t="s">
        <v>49</v>
      </c>
      <c r="D73" s="361"/>
      <c r="E73" s="361"/>
      <c r="F73" s="362"/>
      <c r="G73" s="346" t="s">
        <v>50</v>
      </c>
      <c r="H73" s="346"/>
      <c r="I73" s="346"/>
      <c r="J73" s="346"/>
      <c r="K73" s="346"/>
      <c r="L73" s="346"/>
      <c r="M73" s="346"/>
      <c r="N73" s="346"/>
      <c r="O73" s="346"/>
      <c r="P73" s="346"/>
      <c r="Q73" s="6"/>
    </row>
    <row r="74" spans="2:17" ht="28.5" customHeight="1" x14ac:dyDescent="0.25">
      <c r="B74" s="4"/>
      <c r="C74" s="345" t="s">
        <v>51</v>
      </c>
      <c r="D74" s="345"/>
      <c r="E74" s="345"/>
      <c r="F74" s="345"/>
      <c r="G74" s="346" t="s">
        <v>52</v>
      </c>
      <c r="H74" s="346"/>
      <c r="I74" s="346"/>
      <c r="J74" s="346"/>
      <c r="K74" s="346"/>
      <c r="L74" s="346"/>
      <c r="M74" s="346"/>
      <c r="N74" s="346"/>
      <c r="O74" s="346"/>
      <c r="P74" s="346"/>
      <c r="Q74" s="6"/>
    </row>
    <row r="75" spans="2:17" ht="16.5" customHeight="1" x14ac:dyDescent="0.25">
      <c r="B75" s="4"/>
      <c r="C75" s="345" t="s">
        <v>53</v>
      </c>
      <c r="D75" s="345"/>
      <c r="E75" s="345"/>
      <c r="F75" s="345"/>
      <c r="G75" s="345" t="s">
        <v>54</v>
      </c>
      <c r="H75" s="345"/>
      <c r="I75" s="345"/>
      <c r="J75" s="345"/>
      <c r="K75" s="345"/>
      <c r="L75" s="345"/>
      <c r="M75" s="345"/>
      <c r="N75" s="345"/>
      <c r="O75" s="345"/>
      <c r="P75" s="345"/>
      <c r="Q75" s="6"/>
    </row>
    <row r="76" spans="2:17" ht="32.5" customHeight="1" x14ac:dyDescent="0.25">
      <c r="B76" s="4"/>
      <c r="C76" s="360" t="s">
        <v>55</v>
      </c>
      <c r="D76" s="361"/>
      <c r="E76" s="361"/>
      <c r="F76" s="362"/>
      <c r="G76" s="346" t="s">
        <v>56</v>
      </c>
      <c r="H76" s="346"/>
      <c r="I76" s="346"/>
      <c r="J76" s="346"/>
      <c r="K76" s="346"/>
      <c r="L76" s="346"/>
      <c r="M76" s="346"/>
      <c r="N76" s="346"/>
      <c r="O76" s="346"/>
      <c r="P76" s="346"/>
      <c r="Q76" s="6"/>
    </row>
    <row r="77" spans="2:17" ht="39.65" customHeight="1" x14ac:dyDescent="0.25">
      <c r="B77" s="4"/>
      <c r="C77" s="345" t="s">
        <v>57</v>
      </c>
      <c r="D77" s="345"/>
      <c r="E77" s="345"/>
      <c r="F77" s="345"/>
      <c r="G77" s="346" t="s">
        <v>58</v>
      </c>
      <c r="H77" s="346"/>
      <c r="I77" s="346"/>
      <c r="J77" s="346"/>
      <c r="K77" s="346"/>
      <c r="L77" s="346"/>
      <c r="M77" s="346"/>
      <c r="N77" s="346"/>
      <c r="O77" s="346"/>
      <c r="P77" s="346"/>
      <c r="Q77" s="6"/>
    </row>
    <row r="78" spans="2:17" ht="41.5" customHeight="1" x14ac:dyDescent="0.25">
      <c r="B78" s="4"/>
      <c r="C78" s="345" t="s">
        <v>59</v>
      </c>
      <c r="D78" s="345"/>
      <c r="E78" s="345"/>
      <c r="F78" s="345"/>
      <c r="G78" s="346" t="s">
        <v>60</v>
      </c>
      <c r="H78" s="346"/>
      <c r="I78" s="346"/>
      <c r="J78" s="346"/>
      <c r="K78" s="346"/>
      <c r="L78" s="346"/>
      <c r="M78" s="346"/>
      <c r="N78" s="346"/>
      <c r="O78" s="346"/>
      <c r="P78" s="346"/>
      <c r="Q78" s="6"/>
    </row>
    <row r="79" spans="2:17" ht="17.149999999999999" customHeight="1" x14ac:dyDescent="0.25">
      <c r="B79" s="4"/>
      <c r="C79" s="345" t="s">
        <v>61</v>
      </c>
      <c r="D79" s="345"/>
      <c r="E79" s="345"/>
      <c r="F79" s="345"/>
      <c r="G79" s="345" t="s">
        <v>62</v>
      </c>
      <c r="H79" s="345"/>
      <c r="I79" s="345"/>
      <c r="J79" s="345"/>
      <c r="K79" s="345"/>
      <c r="L79" s="345"/>
      <c r="M79" s="345"/>
      <c r="N79" s="345"/>
      <c r="O79" s="345"/>
      <c r="P79" s="345"/>
      <c r="Q79" s="6"/>
    </row>
    <row r="80" spans="2:17" ht="20.149999999999999" customHeight="1" x14ac:dyDescent="0.25">
      <c r="B80" s="4"/>
      <c r="C80" s="345" t="s">
        <v>63</v>
      </c>
      <c r="D80" s="345"/>
      <c r="E80" s="345"/>
      <c r="F80" s="345"/>
      <c r="G80" s="346" t="s">
        <v>64</v>
      </c>
      <c r="H80" s="345"/>
      <c r="I80" s="345"/>
      <c r="J80" s="345"/>
      <c r="K80" s="345"/>
      <c r="L80" s="345"/>
      <c r="M80" s="345"/>
      <c r="N80" s="345"/>
      <c r="O80" s="345"/>
      <c r="P80" s="345"/>
      <c r="Q80" s="6"/>
    </row>
    <row r="81" spans="2:17" ht="28.5" customHeight="1" x14ac:dyDescent="0.25">
      <c r="B81" s="4"/>
      <c r="C81" s="360" t="s">
        <v>65</v>
      </c>
      <c r="D81" s="361"/>
      <c r="E81" s="361"/>
      <c r="F81" s="362"/>
      <c r="G81" s="346" t="s">
        <v>66</v>
      </c>
      <c r="H81" s="346"/>
      <c r="I81" s="346"/>
      <c r="J81" s="346"/>
      <c r="K81" s="346"/>
      <c r="L81" s="346"/>
      <c r="M81" s="346"/>
      <c r="N81" s="346"/>
      <c r="O81" s="346"/>
      <c r="P81" s="346"/>
      <c r="Q81" s="6"/>
    </row>
    <row r="82" spans="2:17" ht="28.5" customHeight="1" x14ac:dyDescent="0.25">
      <c r="B82" s="4"/>
      <c r="C82" s="370" t="s">
        <v>67</v>
      </c>
      <c r="D82" s="371"/>
      <c r="E82" s="371"/>
      <c r="F82" s="372"/>
      <c r="G82" s="347" t="s">
        <v>68</v>
      </c>
      <c r="H82" s="347"/>
      <c r="I82" s="347"/>
      <c r="J82" s="347"/>
      <c r="K82" s="347"/>
      <c r="L82" s="347"/>
      <c r="M82" s="347"/>
      <c r="N82" s="347"/>
      <c r="O82" s="347"/>
      <c r="P82" s="347"/>
      <c r="Q82" s="6"/>
    </row>
    <row r="83" spans="2:17" ht="28.5" customHeight="1" x14ac:dyDescent="0.25">
      <c r="B83" s="4"/>
      <c r="C83" s="370" t="s">
        <v>69</v>
      </c>
      <c r="D83" s="371"/>
      <c r="E83" s="371"/>
      <c r="F83" s="372"/>
      <c r="G83" s="347" t="s">
        <v>70</v>
      </c>
      <c r="H83" s="347"/>
      <c r="I83" s="347"/>
      <c r="J83" s="347"/>
      <c r="K83" s="347"/>
      <c r="L83" s="347"/>
      <c r="M83" s="347"/>
      <c r="N83" s="347"/>
      <c r="O83" s="347"/>
      <c r="P83" s="347"/>
      <c r="Q83" s="6"/>
    </row>
    <row r="84" spans="2:17" ht="16.5" customHeight="1" x14ac:dyDescent="0.25">
      <c r="B84" s="4"/>
      <c r="C84" s="370" t="s">
        <v>71</v>
      </c>
      <c r="D84" s="371"/>
      <c r="E84" s="371"/>
      <c r="F84" s="372"/>
      <c r="G84" s="348" t="s">
        <v>72</v>
      </c>
      <c r="H84" s="349"/>
      <c r="I84" s="349"/>
      <c r="J84" s="349"/>
      <c r="K84" s="349"/>
      <c r="L84" s="349"/>
      <c r="M84" s="349"/>
      <c r="N84" s="349"/>
      <c r="O84" s="349"/>
      <c r="P84" s="350"/>
      <c r="Q84" s="6"/>
    </row>
    <row r="85" spans="2:17" ht="15" customHeight="1" x14ac:dyDescent="0.25">
      <c r="B85" s="4"/>
      <c r="C85" s="370" t="s">
        <v>73</v>
      </c>
      <c r="D85" s="371"/>
      <c r="E85" s="371"/>
      <c r="F85" s="372"/>
      <c r="G85" s="347" t="s">
        <v>74</v>
      </c>
      <c r="H85" s="347"/>
      <c r="I85" s="347"/>
      <c r="J85" s="347"/>
      <c r="K85" s="347"/>
      <c r="L85" s="347"/>
      <c r="M85" s="347"/>
      <c r="N85" s="347"/>
      <c r="O85" s="347"/>
      <c r="P85" s="347"/>
      <c r="Q85" s="6"/>
    </row>
    <row r="86" spans="2:17" ht="14.15" customHeight="1" x14ac:dyDescent="0.25">
      <c r="B86" s="4"/>
      <c r="C86" s="367" t="s">
        <v>75</v>
      </c>
      <c r="D86" s="367"/>
      <c r="E86" s="367"/>
      <c r="F86" s="367"/>
      <c r="G86" s="347" t="s">
        <v>76</v>
      </c>
      <c r="H86" s="347"/>
      <c r="I86" s="347"/>
      <c r="J86" s="347"/>
      <c r="K86" s="347"/>
      <c r="L86" s="347"/>
      <c r="M86" s="347"/>
      <c r="N86" s="347"/>
      <c r="O86" s="347"/>
      <c r="P86" s="347"/>
      <c r="Q86" s="6"/>
    </row>
    <row r="87" spans="2:17" ht="14" x14ac:dyDescent="0.25">
      <c r="B87" s="4"/>
      <c r="C87" s="288"/>
      <c r="D87" s="288"/>
      <c r="E87" s="288"/>
      <c r="F87" s="288"/>
      <c r="G87" s="288"/>
      <c r="H87" s="288"/>
      <c r="I87" s="288"/>
      <c r="J87" s="288"/>
      <c r="K87" s="288"/>
      <c r="L87" s="288"/>
      <c r="M87" s="288"/>
      <c r="N87" s="288"/>
      <c r="O87" s="288"/>
      <c r="P87" s="288"/>
      <c r="Q87" s="6"/>
    </row>
    <row r="88" spans="2:17" ht="14.5" x14ac:dyDescent="0.25">
      <c r="B88" s="4"/>
      <c r="C88" s="339" t="s">
        <v>77</v>
      </c>
      <c r="D88" s="339"/>
      <c r="E88" s="339"/>
      <c r="F88" s="339"/>
      <c r="G88" s="288"/>
      <c r="H88" s="288"/>
      <c r="I88" s="288"/>
      <c r="J88" s="288"/>
      <c r="K88" s="288"/>
      <c r="L88" s="288"/>
      <c r="M88" s="288"/>
      <c r="N88" s="288"/>
      <c r="O88" s="288"/>
      <c r="P88" s="288"/>
      <c r="Q88" s="6"/>
    </row>
    <row r="89" spans="2:17" ht="18.649999999999999" customHeight="1" x14ac:dyDescent="0.25">
      <c r="B89" s="4"/>
      <c r="C89" s="359" t="s">
        <v>78</v>
      </c>
      <c r="D89" s="359"/>
      <c r="E89" s="359"/>
      <c r="F89" s="359"/>
      <c r="G89" s="359"/>
      <c r="H89" s="359"/>
      <c r="I89" s="359"/>
      <c r="J89" s="359"/>
      <c r="K89" s="288"/>
      <c r="L89" s="288"/>
      <c r="M89" s="288"/>
      <c r="N89" s="288"/>
      <c r="O89" s="288"/>
      <c r="P89" s="288"/>
      <c r="Q89" s="6"/>
    </row>
    <row r="90" spans="2:17" ht="12.65" customHeight="1" x14ac:dyDescent="0.25">
      <c r="B90" s="4"/>
      <c r="C90" s="337" t="s">
        <v>492</v>
      </c>
      <c r="D90" s="337"/>
      <c r="E90" s="337"/>
      <c r="F90" s="337"/>
      <c r="G90" s="337"/>
      <c r="H90" s="337"/>
      <c r="I90" s="337"/>
      <c r="J90" s="337"/>
      <c r="K90" s="337"/>
      <c r="L90" s="337"/>
      <c r="M90" s="337"/>
      <c r="N90" s="337"/>
      <c r="O90" s="337"/>
      <c r="P90" s="337"/>
      <c r="Q90" s="6"/>
    </row>
    <row r="91" spans="2:17" ht="14.15" customHeight="1" x14ac:dyDescent="0.25">
      <c r="B91" s="4"/>
      <c r="C91" s="337"/>
      <c r="D91" s="337"/>
      <c r="E91" s="337"/>
      <c r="F91" s="337"/>
      <c r="G91" s="337"/>
      <c r="H91" s="337"/>
      <c r="I91" s="337"/>
      <c r="J91" s="337"/>
      <c r="K91" s="337"/>
      <c r="L91" s="337"/>
      <c r="M91" s="337"/>
      <c r="N91" s="337"/>
      <c r="O91" s="337"/>
      <c r="P91" s="337"/>
      <c r="Q91" s="6"/>
    </row>
    <row r="92" spans="2:17" ht="80.150000000000006" customHeight="1" x14ac:dyDescent="0.25">
      <c r="B92" s="4"/>
      <c r="C92" s="337"/>
      <c r="D92" s="337"/>
      <c r="E92" s="337"/>
      <c r="F92" s="337"/>
      <c r="G92" s="337"/>
      <c r="H92" s="337"/>
      <c r="I92" s="337"/>
      <c r="J92" s="337"/>
      <c r="K92" s="337"/>
      <c r="L92" s="337"/>
      <c r="M92" s="337"/>
      <c r="N92" s="337"/>
      <c r="O92" s="337"/>
      <c r="P92" s="337"/>
      <c r="Q92" s="6"/>
    </row>
    <row r="93" spans="2:17" ht="6" customHeight="1" x14ac:dyDescent="0.25">
      <c r="B93" s="4"/>
      <c r="C93" s="283"/>
      <c r="D93" s="283"/>
      <c r="E93" s="283"/>
      <c r="F93" s="283"/>
      <c r="G93" s="283"/>
      <c r="H93" s="283"/>
      <c r="I93" s="283"/>
      <c r="J93" s="283"/>
      <c r="K93" s="283"/>
      <c r="L93" s="283"/>
      <c r="M93" s="283"/>
      <c r="N93" s="283"/>
      <c r="O93" s="283"/>
      <c r="P93" s="283"/>
      <c r="Q93" s="6"/>
    </row>
    <row r="94" spans="2:17" ht="60.65" customHeight="1" x14ac:dyDescent="0.25">
      <c r="B94" s="4"/>
      <c r="C94" s="368" t="s">
        <v>79</v>
      </c>
      <c r="D94" s="368"/>
      <c r="E94" s="368"/>
      <c r="F94" s="368"/>
      <c r="G94" s="279" t="s">
        <v>80</v>
      </c>
      <c r="H94" s="279" t="s">
        <v>81</v>
      </c>
      <c r="I94" s="279" t="s">
        <v>82</v>
      </c>
      <c r="J94" s="283"/>
      <c r="K94" s="283"/>
      <c r="L94" s="283"/>
      <c r="M94" s="283"/>
      <c r="N94" s="283"/>
      <c r="O94" s="283"/>
      <c r="P94" s="283"/>
      <c r="Q94" s="6"/>
    </row>
    <row r="95" spans="2:17" ht="17.149999999999999" customHeight="1" x14ac:dyDescent="0.25">
      <c r="B95" s="4"/>
      <c r="C95" s="356" t="s">
        <v>83</v>
      </c>
      <c r="D95" s="357"/>
      <c r="E95" s="357"/>
      <c r="F95" s="358"/>
      <c r="G95" s="286">
        <v>6</v>
      </c>
      <c r="H95" s="286">
        <v>0.45</v>
      </c>
      <c r="I95" s="281">
        <v>0.45</v>
      </c>
      <c r="J95" s="283"/>
      <c r="K95" s="283"/>
      <c r="L95" s="283"/>
      <c r="M95" s="261"/>
      <c r="N95" s="283"/>
      <c r="O95" s="283"/>
      <c r="P95" s="283"/>
      <c r="Q95" s="6"/>
    </row>
    <row r="96" spans="2:17" ht="20.149999999999999" customHeight="1" x14ac:dyDescent="0.25">
      <c r="B96" s="4"/>
      <c r="C96" s="356" t="s">
        <v>84</v>
      </c>
      <c r="D96" s="357"/>
      <c r="E96" s="357"/>
      <c r="F96" s="358"/>
      <c r="G96" s="286" t="s">
        <v>85</v>
      </c>
      <c r="H96" s="286">
        <v>0.45</v>
      </c>
      <c r="I96" s="281">
        <v>0.22500000000000001</v>
      </c>
      <c r="J96" s="283"/>
      <c r="K96" s="283"/>
      <c r="L96" s="283"/>
      <c r="M96" s="261"/>
      <c r="N96" s="283"/>
      <c r="O96" s="283"/>
      <c r="P96" s="283"/>
      <c r="Q96" s="6"/>
    </row>
    <row r="97" spans="2:18" ht="16" customHeight="1" x14ac:dyDescent="0.25">
      <c r="B97" s="4"/>
      <c r="C97" s="356" t="s">
        <v>86</v>
      </c>
      <c r="D97" s="357"/>
      <c r="E97" s="357"/>
      <c r="F97" s="358"/>
      <c r="G97" s="286">
        <v>0.9</v>
      </c>
      <c r="H97" s="286">
        <v>0.09</v>
      </c>
      <c r="I97" s="281">
        <v>0.09</v>
      </c>
      <c r="J97" s="283"/>
      <c r="K97" s="283"/>
      <c r="L97" s="283"/>
      <c r="M97" s="261"/>
      <c r="N97" s="283"/>
      <c r="O97" s="283"/>
      <c r="P97" s="283"/>
      <c r="Q97" s="6"/>
    </row>
    <row r="98" spans="2:18" ht="19" customHeight="1" x14ac:dyDescent="0.25">
      <c r="B98" s="4"/>
      <c r="C98" s="356" t="s">
        <v>87</v>
      </c>
      <c r="D98" s="357"/>
      <c r="E98" s="357"/>
      <c r="F98" s="358"/>
      <c r="G98" s="286">
        <v>6</v>
      </c>
      <c r="H98" s="286">
        <v>6</v>
      </c>
      <c r="I98" s="281">
        <v>6</v>
      </c>
      <c r="J98" s="283"/>
      <c r="K98" s="283"/>
      <c r="L98" s="283"/>
      <c r="M98" s="261"/>
      <c r="N98" s="283"/>
      <c r="O98" s="283"/>
      <c r="P98" s="283"/>
      <c r="Q98" s="6"/>
    </row>
    <row r="99" spans="2:18" ht="12.65" customHeight="1" x14ac:dyDescent="0.25">
      <c r="B99" s="4"/>
      <c r="C99" s="356" t="s">
        <v>88</v>
      </c>
      <c r="D99" s="357"/>
      <c r="E99" s="357"/>
      <c r="F99" s="358"/>
      <c r="G99" s="286">
        <v>6</v>
      </c>
      <c r="H99" s="286">
        <v>6</v>
      </c>
      <c r="I99" s="281">
        <v>6</v>
      </c>
      <c r="J99" s="283"/>
      <c r="K99" s="283"/>
      <c r="L99" s="283"/>
      <c r="M99" s="261"/>
      <c r="N99" s="283"/>
      <c r="O99" s="283"/>
      <c r="P99" s="283"/>
      <c r="Q99" s="6"/>
    </row>
    <row r="100" spans="2:18" ht="20.149999999999999" customHeight="1" x14ac:dyDescent="0.25">
      <c r="B100" s="4"/>
      <c r="C100" s="373" t="s">
        <v>89</v>
      </c>
      <c r="D100" s="374"/>
      <c r="E100" s="374"/>
      <c r="F100" s="375"/>
      <c r="G100" s="286">
        <v>6</v>
      </c>
      <c r="H100" s="286">
        <v>6</v>
      </c>
      <c r="I100" s="281">
        <v>6</v>
      </c>
      <c r="J100" s="283"/>
      <c r="K100" s="283"/>
      <c r="L100" s="283"/>
      <c r="M100" s="262"/>
      <c r="N100" s="283"/>
      <c r="O100" s="283"/>
      <c r="P100" s="283"/>
      <c r="Q100" s="6"/>
    </row>
    <row r="101" spans="2:18" ht="19" customHeight="1" x14ac:dyDescent="0.25">
      <c r="B101" s="4"/>
      <c r="C101" s="343"/>
      <c r="D101" s="343"/>
      <c r="E101" s="343"/>
      <c r="F101" s="343"/>
      <c r="G101" s="343"/>
      <c r="H101" s="343"/>
      <c r="I101" s="283"/>
      <c r="J101" s="283"/>
      <c r="K101" s="283"/>
      <c r="L101" s="283"/>
      <c r="M101" s="283"/>
      <c r="N101" s="283"/>
      <c r="O101" s="283"/>
      <c r="P101" s="283"/>
      <c r="Q101" s="6"/>
    </row>
    <row r="102" spans="2:18" ht="16.5" customHeight="1" x14ac:dyDescent="0.25">
      <c r="B102" s="4"/>
      <c r="C102" s="366" t="s">
        <v>90</v>
      </c>
      <c r="D102" s="366"/>
      <c r="E102" s="366"/>
      <c r="F102" s="45"/>
      <c r="G102" s="45"/>
      <c r="H102" s="45"/>
      <c r="I102" s="45"/>
      <c r="J102" s="45"/>
      <c r="K102" s="45"/>
      <c r="L102" s="45"/>
      <c r="M102" s="45"/>
      <c r="N102" s="45"/>
      <c r="O102" s="45"/>
      <c r="P102" s="45"/>
      <c r="Q102" s="6"/>
    </row>
    <row r="103" spans="2:18" ht="66" customHeight="1" x14ac:dyDescent="0.25">
      <c r="B103" s="4"/>
      <c r="C103" s="376" t="s">
        <v>91</v>
      </c>
      <c r="D103" s="376"/>
      <c r="E103" s="376"/>
      <c r="F103" s="376"/>
      <c r="G103" s="376"/>
      <c r="H103" s="376"/>
      <c r="I103" s="376"/>
      <c r="J103" s="376"/>
      <c r="K103" s="376"/>
      <c r="L103" s="376"/>
      <c r="M103" s="376"/>
      <c r="N103" s="376"/>
      <c r="O103" s="376"/>
      <c r="P103" s="376"/>
      <c r="Q103" s="6"/>
    </row>
    <row r="104" spans="2:18" ht="34.5" customHeight="1" x14ac:dyDescent="0.25">
      <c r="B104" s="4"/>
      <c r="C104" s="337" t="s">
        <v>92</v>
      </c>
      <c r="D104" s="337"/>
      <c r="E104" s="337"/>
      <c r="F104" s="337"/>
      <c r="G104" s="337"/>
      <c r="H104" s="337"/>
      <c r="I104" s="337"/>
      <c r="J104" s="337"/>
      <c r="K104" s="337"/>
      <c r="L104" s="337"/>
      <c r="M104" s="337"/>
      <c r="N104" s="337"/>
      <c r="O104" s="337"/>
      <c r="P104" s="337"/>
      <c r="Q104" s="6"/>
    </row>
    <row r="105" spans="2:18" ht="8.15" customHeight="1" x14ac:dyDescent="0.25">
      <c r="B105" s="4"/>
      <c r="C105" s="46"/>
      <c r="D105" s="46"/>
      <c r="E105" s="46"/>
      <c r="F105" s="46"/>
      <c r="G105" s="46"/>
      <c r="H105" s="46"/>
      <c r="I105" s="46"/>
      <c r="J105" s="46"/>
      <c r="K105" s="46"/>
      <c r="L105" s="46"/>
      <c r="M105" s="46"/>
      <c r="N105" s="46"/>
      <c r="O105" s="46"/>
      <c r="P105" s="46"/>
      <c r="Q105" s="6"/>
    </row>
    <row r="106" spans="2:18" ht="28" customHeight="1" x14ac:dyDescent="0.25">
      <c r="B106" s="4"/>
      <c r="C106" s="364" t="s">
        <v>93</v>
      </c>
      <c r="D106" s="364"/>
      <c r="E106" s="364"/>
      <c r="F106" s="364"/>
      <c r="G106" s="364"/>
      <c r="H106" s="365"/>
      <c r="I106" s="369" t="s">
        <v>94</v>
      </c>
      <c r="J106" s="364"/>
      <c r="K106" s="364"/>
      <c r="L106" s="364"/>
      <c r="M106" s="364"/>
      <c r="N106" s="369" t="s">
        <v>95</v>
      </c>
      <c r="O106" s="364"/>
      <c r="P106" s="364"/>
      <c r="Q106" s="6"/>
    </row>
    <row r="107" spans="2:18" ht="14.15" customHeight="1" x14ac:dyDescent="0.25">
      <c r="B107" s="4"/>
      <c r="C107" s="283" t="s">
        <v>96</v>
      </c>
      <c r="D107" s="283" t="s">
        <v>97</v>
      </c>
      <c r="E107" s="353" t="s">
        <v>98</v>
      </c>
      <c r="F107" s="353"/>
      <c r="G107" s="353"/>
      <c r="H107" s="354"/>
      <c r="I107" s="283" t="s">
        <v>96</v>
      </c>
      <c r="J107" s="283" t="s">
        <v>97</v>
      </c>
      <c r="K107" s="353" t="s">
        <v>98</v>
      </c>
      <c r="L107" s="353"/>
      <c r="M107" s="354"/>
      <c r="N107" s="283" t="s">
        <v>99</v>
      </c>
      <c r="O107" s="283" t="s">
        <v>97</v>
      </c>
      <c r="P107" s="283" t="s">
        <v>98</v>
      </c>
      <c r="Q107" s="6"/>
    </row>
    <row r="108" spans="2:18" ht="13" customHeight="1" x14ac:dyDescent="0.25">
      <c r="B108" s="4"/>
      <c r="C108" s="47"/>
      <c r="D108" s="287">
        <v>3</v>
      </c>
      <c r="E108" s="337" t="s">
        <v>100</v>
      </c>
      <c r="F108" s="337"/>
      <c r="G108" s="337"/>
      <c r="H108" s="338"/>
      <c r="I108" s="48"/>
      <c r="J108" s="287">
        <v>1</v>
      </c>
      <c r="K108" s="341" t="s">
        <v>101</v>
      </c>
      <c r="L108" s="341"/>
      <c r="M108" s="342"/>
      <c r="N108" s="59"/>
      <c r="O108" s="287">
        <v>17</v>
      </c>
      <c r="P108" s="283" t="s">
        <v>102</v>
      </c>
      <c r="Q108" s="157"/>
      <c r="R108" s="155"/>
    </row>
    <row r="109" spans="2:18" ht="28" x14ac:dyDescent="0.25">
      <c r="B109" s="4"/>
      <c r="C109" s="49"/>
      <c r="D109" s="287">
        <v>4</v>
      </c>
      <c r="E109" s="337" t="s">
        <v>103</v>
      </c>
      <c r="F109" s="337"/>
      <c r="G109" s="337"/>
      <c r="H109" s="338"/>
      <c r="I109" s="50"/>
      <c r="J109" s="287">
        <v>2</v>
      </c>
      <c r="K109" s="341" t="s">
        <v>104</v>
      </c>
      <c r="L109" s="341"/>
      <c r="M109" s="342"/>
      <c r="N109" s="61"/>
      <c r="O109" s="287">
        <v>18</v>
      </c>
      <c r="P109" s="283" t="s">
        <v>105</v>
      </c>
      <c r="Q109" s="157"/>
      <c r="R109" s="155"/>
    </row>
    <row r="110" spans="2:18" ht="15.65" customHeight="1" x14ac:dyDescent="0.25">
      <c r="B110" s="4"/>
      <c r="C110" s="51"/>
      <c r="D110" s="287">
        <v>5</v>
      </c>
      <c r="E110" s="337" t="s">
        <v>106</v>
      </c>
      <c r="F110" s="337"/>
      <c r="G110" s="337"/>
      <c r="H110" s="338"/>
      <c r="I110" s="52"/>
      <c r="J110" s="287">
        <v>8</v>
      </c>
      <c r="K110" s="341" t="s">
        <v>107</v>
      </c>
      <c r="L110" s="341"/>
      <c r="M110" s="342"/>
      <c r="N110" s="63"/>
      <c r="O110" s="287">
        <v>19</v>
      </c>
      <c r="P110" s="283" t="s">
        <v>108</v>
      </c>
      <c r="Q110" s="157"/>
      <c r="R110" s="155"/>
    </row>
    <row r="111" spans="2:18" ht="15.65" customHeight="1" x14ac:dyDescent="0.25">
      <c r="B111" s="4"/>
      <c r="C111" s="53"/>
      <c r="D111" s="287">
        <v>6</v>
      </c>
      <c r="E111" s="337" t="s">
        <v>109</v>
      </c>
      <c r="F111" s="337"/>
      <c r="G111" s="337"/>
      <c r="H111" s="338"/>
      <c r="I111" s="54"/>
      <c r="J111" s="287">
        <v>9</v>
      </c>
      <c r="K111" s="341" t="s">
        <v>110</v>
      </c>
      <c r="L111" s="341"/>
      <c r="M111" s="342"/>
      <c r="N111" s="282"/>
      <c r="O111" s="282"/>
      <c r="P111" s="282"/>
      <c r="Q111" s="6"/>
    </row>
    <row r="112" spans="2:18" ht="14" x14ac:dyDescent="0.25">
      <c r="B112" s="4"/>
      <c r="C112" s="55"/>
      <c r="D112" s="287">
        <v>7</v>
      </c>
      <c r="E112" s="337" t="s">
        <v>111</v>
      </c>
      <c r="F112" s="337"/>
      <c r="G112" s="337"/>
      <c r="H112" s="338"/>
      <c r="I112" s="158"/>
      <c r="J112" s="154">
        <v>15</v>
      </c>
      <c r="K112" s="351" t="s">
        <v>112</v>
      </c>
      <c r="L112" s="351"/>
      <c r="M112" s="352"/>
      <c r="N112" s="288"/>
      <c r="O112" s="288"/>
      <c r="P112" s="288"/>
      <c r="Q112" s="6"/>
    </row>
    <row r="113" spans="2:17" ht="15" customHeight="1" x14ac:dyDescent="0.25">
      <c r="B113" s="4"/>
      <c r="C113" s="56"/>
      <c r="D113" s="287">
        <v>10</v>
      </c>
      <c r="E113" s="337" t="s">
        <v>113</v>
      </c>
      <c r="F113" s="337"/>
      <c r="G113" s="337"/>
      <c r="H113" s="338"/>
      <c r="I113" s="57"/>
      <c r="J113" s="287">
        <v>16</v>
      </c>
      <c r="K113" s="341" t="s">
        <v>114</v>
      </c>
      <c r="L113" s="341"/>
      <c r="M113" s="342"/>
      <c r="N113" s="282"/>
      <c r="O113" s="282"/>
      <c r="P113" s="282"/>
      <c r="Q113" s="6"/>
    </row>
    <row r="114" spans="2:17" ht="14.5" customHeight="1" x14ac:dyDescent="0.25">
      <c r="B114" s="4"/>
      <c r="C114" s="58"/>
      <c r="D114" s="287">
        <v>11</v>
      </c>
      <c r="E114" s="337" t="s">
        <v>115</v>
      </c>
      <c r="F114" s="337"/>
      <c r="G114" s="337"/>
      <c r="H114" s="338"/>
      <c r="I114" s="65"/>
      <c r="J114" s="287">
        <v>20</v>
      </c>
      <c r="K114" s="337" t="s">
        <v>116</v>
      </c>
      <c r="L114" s="337"/>
      <c r="M114" s="338"/>
      <c r="N114" s="283"/>
      <c r="O114" s="283"/>
      <c r="P114" s="283"/>
      <c r="Q114" s="6"/>
    </row>
    <row r="115" spans="2:17" ht="12.65" customHeight="1" x14ac:dyDescent="0.25">
      <c r="B115" s="4"/>
      <c r="C115" s="60"/>
      <c r="D115" s="287">
        <v>12</v>
      </c>
      <c r="E115" s="337" t="s">
        <v>117</v>
      </c>
      <c r="F115" s="337"/>
      <c r="G115" s="337"/>
      <c r="H115" s="338"/>
      <c r="I115" s="66"/>
      <c r="J115" s="287">
        <v>21</v>
      </c>
      <c r="K115" s="337" t="s">
        <v>118</v>
      </c>
      <c r="L115" s="337"/>
      <c r="M115" s="338"/>
      <c r="N115" s="283"/>
      <c r="O115" s="283"/>
      <c r="P115" s="283"/>
      <c r="Q115" s="6"/>
    </row>
    <row r="116" spans="2:17" ht="14.5" customHeight="1" x14ac:dyDescent="0.25">
      <c r="B116" s="4"/>
      <c r="C116" s="62"/>
      <c r="D116" s="287">
        <v>13</v>
      </c>
      <c r="E116" s="337" t="s">
        <v>119</v>
      </c>
      <c r="F116" s="337"/>
      <c r="G116" s="337"/>
      <c r="H116" s="338"/>
      <c r="I116" s="67"/>
      <c r="J116" s="287">
        <v>22</v>
      </c>
      <c r="K116" s="337" t="s">
        <v>120</v>
      </c>
      <c r="L116" s="337"/>
      <c r="M116" s="338"/>
      <c r="N116" s="283"/>
      <c r="O116" s="283"/>
      <c r="P116" s="283"/>
      <c r="Q116" s="6"/>
    </row>
    <row r="117" spans="2:17" ht="13.5" customHeight="1" x14ac:dyDescent="0.25">
      <c r="B117" s="4"/>
      <c r="C117" s="64"/>
      <c r="D117" s="287">
        <v>14</v>
      </c>
      <c r="E117" s="337" t="s">
        <v>121</v>
      </c>
      <c r="F117" s="337"/>
      <c r="G117" s="337"/>
      <c r="H117" s="338"/>
      <c r="I117" s="68"/>
      <c r="J117" s="287">
        <v>23</v>
      </c>
      <c r="K117" s="341" t="s">
        <v>122</v>
      </c>
      <c r="L117" s="341"/>
      <c r="M117" s="342"/>
      <c r="N117" s="283"/>
      <c r="O117" s="283"/>
      <c r="P117" s="283"/>
      <c r="Q117" s="6"/>
    </row>
    <row r="118" spans="2:17" ht="14.5" customHeight="1" x14ac:dyDescent="0.25">
      <c r="B118" s="4"/>
      <c r="C118" s="283"/>
      <c r="D118" s="287"/>
      <c r="E118" s="337"/>
      <c r="F118" s="337"/>
      <c r="G118" s="337"/>
      <c r="H118" s="338"/>
      <c r="I118" s="69"/>
      <c r="J118" s="287">
        <v>24</v>
      </c>
      <c r="K118" s="337" t="s">
        <v>123</v>
      </c>
      <c r="L118" s="337"/>
      <c r="M118" s="338"/>
      <c r="N118" s="283"/>
      <c r="O118" s="283"/>
      <c r="P118" s="283"/>
      <c r="Q118" s="6"/>
    </row>
    <row r="119" spans="2:17" ht="14.5" customHeight="1" x14ac:dyDescent="0.25">
      <c r="B119" s="4"/>
      <c r="C119" s="283"/>
      <c r="D119" s="287"/>
      <c r="E119" s="283"/>
      <c r="F119" s="283"/>
      <c r="G119" s="283"/>
      <c r="H119" s="284"/>
      <c r="I119" s="70"/>
      <c r="J119" s="287">
        <v>25</v>
      </c>
      <c r="K119" s="337" t="s">
        <v>124</v>
      </c>
      <c r="L119" s="337"/>
      <c r="M119" s="338"/>
      <c r="N119" s="283"/>
      <c r="O119" s="283"/>
      <c r="P119" s="283"/>
      <c r="Q119" s="6"/>
    </row>
    <row r="120" spans="2:17" ht="14.5" customHeight="1" x14ac:dyDescent="0.25">
      <c r="B120" s="4"/>
      <c r="C120" s="283"/>
      <c r="D120" s="287"/>
      <c r="E120" s="283"/>
      <c r="F120" s="283"/>
      <c r="G120" s="283"/>
      <c r="H120" s="284"/>
      <c r="I120" s="71"/>
      <c r="J120" s="287">
        <v>26</v>
      </c>
      <c r="K120" s="337" t="s">
        <v>125</v>
      </c>
      <c r="L120" s="337"/>
      <c r="M120" s="338"/>
      <c r="N120" s="282"/>
      <c r="O120" s="282"/>
      <c r="P120" s="282"/>
      <c r="Q120" s="6"/>
    </row>
    <row r="121" spans="2:17" ht="13" customHeight="1" x14ac:dyDescent="0.25">
      <c r="B121" s="4"/>
      <c r="C121" s="283"/>
      <c r="D121" s="283"/>
      <c r="E121" s="283"/>
      <c r="F121" s="283"/>
      <c r="G121" s="283"/>
      <c r="H121" s="284"/>
      <c r="I121" s="72"/>
      <c r="J121" s="287">
        <v>27</v>
      </c>
      <c r="K121" s="337" t="s">
        <v>126</v>
      </c>
      <c r="L121" s="337"/>
      <c r="M121" s="338"/>
      <c r="N121" s="283"/>
      <c r="O121" s="283"/>
      <c r="P121" s="283"/>
      <c r="Q121" s="6"/>
    </row>
    <row r="122" spans="2:17" ht="13.5" customHeight="1" x14ac:dyDescent="0.25">
      <c r="B122" s="4"/>
      <c r="C122" s="283"/>
      <c r="D122" s="283"/>
      <c r="E122" s="283"/>
      <c r="F122" s="283"/>
      <c r="G122" s="283"/>
      <c r="H122" s="283"/>
      <c r="I122" s="5"/>
      <c r="J122" s="5"/>
      <c r="K122" s="5"/>
      <c r="L122" s="5"/>
      <c r="M122" s="5"/>
      <c r="N122" s="283"/>
      <c r="O122" s="283"/>
      <c r="P122" s="283"/>
      <c r="Q122" s="6"/>
    </row>
    <row r="123" spans="2:17" ht="13.5" customHeight="1" x14ac:dyDescent="0.25">
      <c r="B123" s="4"/>
      <c r="C123" s="283"/>
      <c r="D123" s="283"/>
      <c r="E123" s="283"/>
      <c r="F123" s="283"/>
      <c r="G123" s="283"/>
      <c r="H123" s="283"/>
      <c r="I123" s="5"/>
      <c r="J123" s="5"/>
      <c r="K123" s="5"/>
      <c r="L123" s="5"/>
      <c r="M123" s="5"/>
      <c r="N123" s="283"/>
      <c r="O123" s="283"/>
      <c r="P123" s="283"/>
      <c r="Q123" s="6"/>
    </row>
    <row r="124" spans="2:17" ht="13.5" customHeight="1" x14ac:dyDescent="0.25">
      <c r="B124" s="4"/>
      <c r="C124" s="333" t="s">
        <v>127</v>
      </c>
      <c r="D124" s="333"/>
      <c r="E124" s="333"/>
      <c r="F124" s="333"/>
      <c r="G124" s="333"/>
      <c r="H124" s="333"/>
      <c r="I124" s="333"/>
      <c r="J124" s="333"/>
      <c r="K124" s="333"/>
      <c r="L124" s="333"/>
      <c r="M124" s="333"/>
      <c r="N124" s="333"/>
      <c r="O124" s="333"/>
      <c r="P124" s="283"/>
      <c r="Q124" s="6"/>
    </row>
    <row r="125" spans="2:17" ht="13.5" customHeight="1" x14ac:dyDescent="0.35">
      <c r="B125" s="4"/>
      <c r="C125" s="334" t="s">
        <v>128</v>
      </c>
      <c r="D125" s="334"/>
      <c r="E125" s="334"/>
      <c r="F125" s="334"/>
      <c r="G125" s="334"/>
      <c r="H125" s="334"/>
      <c r="I125" s="334"/>
      <c r="J125" s="334"/>
      <c r="K125" s="334"/>
      <c r="L125" s="334"/>
      <c r="M125" s="334"/>
      <c r="N125" s="266"/>
      <c r="O125" s="267"/>
      <c r="P125" s="283"/>
      <c r="Q125" s="6"/>
    </row>
    <row r="126" spans="2:17" ht="13.5" customHeight="1" x14ac:dyDescent="0.35">
      <c r="B126" s="4"/>
      <c r="C126" s="335" t="s">
        <v>129</v>
      </c>
      <c r="D126" s="335"/>
      <c r="E126" s="335"/>
      <c r="F126" s="335"/>
      <c r="G126" s="335"/>
      <c r="H126" s="335"/>
      <c r="I126" s="335"/>
      <c r="J126" s="335"/>
      <c r="K126" s="335"/>
      <c r="L126" s="335"/>
      <c r="M126" s="335"/>
      <c r="N126" s="335"/>
      <c r="O126" s="267"/>
      <c r="P126" s="283"/>
      <c r="Q126" s="6"/>
    </row>
    <row r="127" spans="2:17" ht="13.5" customHeight="1" x14ac:dyDescent="0.35">
      <c r="B127" s="4"/>
      <c r="C127" s="336" t="s">
        <v>130</v>
      </c>
      <c r="D127" s="336"/>
      <c r="E127" s="336"/>
      <c r="F127" s="336"/>
      <c r="G127" s="336"/>
      <c r="H127" s="336"/>
      <c r="I127" s="336"/>
      <c r="J127" s="336"/>
      <c r="K127" s="336"/>
      <c r="L127" s="336"/>
      <c r="M127" s="336"/>
      <c r="N127" s="336"/>
      <c r="O127" s="267"/>
      <c r="P127" s="283"/>
      <c r="Q127" s="6"/>
    </row>
    <row r="128" spans="2:17" ht="13.5" customHeight="1" x14ac:dyDescent="0.35">
      <c r="B128" s="4"/>
      <c r="C128" s="335" t="s">
        <v>131</v>
      </c>
      <c r="D128" s="335"/>
      <c r="E128" s="335"/>
      <c r="F128" s="335"/>
      <c r="G128" s="335"/>
      <c r="H128" s="335"/>
      <c r="I128" s="335"/>
      <c r="J128" s="335"/>
      <c r="K128" s="335"/>
      <c r="L128" s="335"/>
      <c r="M128" s="335"/>
      <c r="N128" s="335"/>
      <c r="O128" s="267"/>
      <c r="P128" s="283"/>
      <c r="Q128" s="6"/>
    </row>
    <row r="129" spans="2:17" ht="13.5" customHeight="1" x14ac:dyDescent="0.25">
      <c r="B129" s="4"/>
      <c r="C129" s="283"/>
      <c r="D129" s="283"/>
      <c r="E129" s="283"/>
      <c r="F129" s="283"/>
      <c r="G129" s="283"/>
      <c r="H129" s="283"/>
      <c r="I129" s="5"/>
      <c r="J129" s="5"/>
      <c r="K129" s="5"/>
      <c r="L129" s="5"/>
      <c r="M129" s="5"/>
      <c r="N129" s="283"/>
      <c r="O129" s="283"/>
      <c r="P129" s="283"/>
      <c r="Q129" s="6"/>
    </row>
    <row r="130" spans="2:17" ht="13.5" customHeight="1" x14ac:dyDescent="0.25">
      <c r="B130" s="4"/>
      <c r="C130" s="283"/>
      <c r="D130" s="283"/>
      <c r="E130" s="283"/>
      <c r="F130" s="283"/>
      <c r="G130" s="283"/>
      <c r="H130" s="283"/>
      <c r="I130" s="5"/>
      <c r="J130" s="5"/>
      <c r="K130" s="5"/>
      <c r="L130" s="5"/>
      <c r="M130" s="5"/>
      <c r="N130" s="283"/>
      <c r="O130" s="283"/>
      <c r="P130" s="283"/>
      <c r="Q130" s="6"/>
    </row>
    <row r="131" spans="2:17" ht="5.25" customHeight="1" x14ac:dyDescent="0.25">
      <c r="B131" s="4"/>
      <c r="C131" s="283"/>
      <c r="D131" s="283"/>
      <c r="E131" s="283"/>
      <c r="F131" s="283"/>
      <c r="G131" s="283"/>
      <c r="H131" s="283"/>
      <c r="I131" s="283"/>
      <c r="J131" s="287"/>
      <c r="K131" s="283"/>
      <c r="L131" s="283"/>
      <c r="M131" s="283"/>
      <c r="N131" s="283"/>
      <c r="O131" s="283"/>
      <c r="P131" s="283"/>
      <c r="Q131" s="6"/>
    </row>
    <row r="132" spans="2:17" ht="5.25" customHeight="1" x14ac:dyDescent="0.25">
      <c r="B132" s="4"/>
      <c r="C132" s="288"/>
      <c r="D132" s="288"/>
      <c r="E132" s="288"/>
      <c r="F132" s="288"/>
      <c r="G132" s="288"/>
      <c r="H132" s="288"/>
      <c r="I132" s="288"/>
      <c r="J132" s="288"/>
      <c r="K132" s="288"/>
      <c r="L132" s="288"/>
      <c r="M132" s="288"/>
      <c r="N132" s="288"/>
      <c r="O132" s="288"/>
      <c r="P132" s="288"/>
      <c r="Q132" s="6"/>
    </row>
    <row r="133" spans="2:17" ht="82.5" customHeight="1" x14ac:dyDescent="0.35">
      <c r="B133" s="4"/>
      <c r="C133" s="159"/>
      <c r="D133" s="282"/>
      <c r="E133" s="282"/>
      <c r="F133" s="282"/>
      <c r="G133" s="282"/>
      <c r="H133" s="344" t="s">
        <v>132</v>
      </c>
      <c r="I133" s="344"/>
      <c r="J133" s="344"/>
      <c r="K133" s="344"/>
      <c r="L133" s="344"/>
      <c r="M133" s="344"/>
      <c r="N133" s="344"/>
      <c r="O133" s="344"/>
      <c r="P133" s="344"/>
      <c r="Q133" s="6"/>
    </row>
    <row r="134" spans="2:17" ht="4.5" customHeight="1" x14ac:dyDescent="0.25">
      <c r="B134" s="4"/>
      <c r="C134" s="12"/>
      <c r="D134" s="12"/>
      <c r="E134" s="12"/>
      <c r="F134" s="12"/>
      <c r="G134" s="12"/>
      <c r="H134" s="12"/>
      <c r="I134" s="12"/>
      <c r="J134" s="12"/>
      <c r="K134" s="12"/>
      <c r="L134" s="12"/>
      <c r="M134" s="12"/>
      <c r="N134" s="12"/>
      <c r="O134" s="12"/>
      <c r="P134" s="12"/>
      <c r="Q134" s="6"/>
    </row>
    <row r="135" spans="2:17" ht="5.25" customHeight="1" x14ac:dyDescent="0.25">
      <c r="B135" s="4"/>
      <c r="C135" s="12"/>
      <c r="D135" s="12"/>
      <c r="E135" s="12"/>
      <c r="F135" s="12"/>
      <c r="G135" s="12"/>
      <c r="H135" s="12"/>
      <c r="I135" s="12"/>
      <c r="J135" s="12"/>
      <c r="K135" s="12"/>
      <c r="L135" s="12"/>
      <c r="M135" s="12"/>
      <c r="N135" s="12"/>
      <c r="O135" s="12"/>
      <c r="P135" s="12"/>
      <c r="Q135" s="6"/>
    </row>
    <row r="136" spans="2:17" ht="3.75" customHeight="1" thickBot="1" x14ac:dyDescent="0.3">
      <c r="B136" s="7"/>
      <c r="C136" s="8"/>
      <c r="D136" s="8"/>
      <c r="E136" s="8"/>
      <c r="F136" s="8"/>
      <c r="G136" s="8"/>
      <c r="H136" s="8"/>
      <c r="I136" s="8"/>
      <c r="J136" s="8"/>
      <c r="K136" s="8"/>
      <c r="L136" s="8"/>
      <c r="M136" s="8"/>
      <c r="N136" s="8"/>
      <c r="O136" s="8"/>
      <c r="P136" s="8"/>
      <c r="Q136" s="9"/>
    </row>
  </sheetData>
  <sheetProtection algorithmName="SHA-512" hashValue="NjrmAR2jn1wpGFFove0EnOeS890gi4M5h9j8ZSHPVdOnqKgG5xaQfDZ8g0292p6cjjU2MMSqJ5bufkWnnbfoyQ==" saltValue="IfRgylHy+xrd6Dve159mgA==" spinCount="100000" sheet="1" objects="1" scenarios="1" selectLockedCells="1"/>
  <mergeCells count="127">
    <mergeCell ref="C73:F73"/>
    <mergeCell ref="C71:F71"/>
    <mergeCell ref="G67:P67"/>
    <mergeCell ref="G68:P68"/>
    <mergeCell ref="G69:P69"/>
    <mergeCell ref="G70:P70"/>
    <mergeCell ref="C67:F67"/>
    <mergeCell ref="C68:F68"/>
    <mergeCell ref="C69:F69"/>
    <mergeCell ref="C70:F70"/>
    <mergeCell ref="C79:F79"/>
    <mergeCell ref="C89:J89"/>
    <mergeCell ref="C94:F94"/>
    <mergeCell ref="I106:M106"/>
    <mergeCell ref="C88:F88"/>
    <mergeCell ref="C85:F85"/>
    <mergeCell ref="C98:F98"/>
    <mergeCell ref="C99:F99"/>
    <mergeCell ref="C100:F100"/>
    <mergeCell ref="G86:P86"/>
    <mergeCell ref="C84:F84"/>
    <mergeCell ref="N106:P106"/>
    <mergeCell ref="C103:P103"/>
    <mergeCell ref="C82:F82"/>
    <mergeCell ref="C83:F83"/>
    <mergeCell ref="C96:F96"/>
    <mergeCell ref="C97:F97"/>
    <mergeCell ref="K113:M113"/>
    <mergeCell ref="K114:M114"/>
    <mergeCell ref="K116:M116"/>
    <mergeCell ref="K108:M108"/>
    <mergeCell ref="E108:H108"/>
    <mergeCell ref="E110:H110"/>
    <mergeCell ref="C106:H106"/>
    <mergeCell ref="C102:E102"/>
    <mergeCell ref="C86:F86"/>
    <mergeCell ref="C7:D7"/>
    <mergeCell ref="C24:D24"/>
    <mergeCell ref="C31:D31"/>
    <mergeCell ref="C34:D34"/>
    <mergeCell ref="E28:L28"/>
    <mergeCell ref="E29:L29"/>
    <mergeCell ref="C26:L26"/>
    <mergeCell ref="C18:M18"/>
    <mergeCell ref="C21:M21"/>
    <mergeCell ref="C22:M22"/>
    <mergeCell ref="C17:P17"/>
    <mergeCell ref="C19:P19"/>
    <mergeCell ref="C20:P20"/>
    <mergeCell ref="C13:P14"/>
    <mergeCell ref="C8:P8"/>
    <mergeCell ref="C9:P10"/>
    <mergeCell ref="C11:P11"/>
    <mergeCell ref="C12:P12"/>
    <mergeCell ref="C33:P33"/>
    <mergeCell ref="C36:P36"/>
    <mergeCell ref="C40:P40"/>
    <mergeCell ref="C44:P44"/>
    <mergeCell ref="C48:P48"/>
    <mergeCell ref="C52:P52"/>
    <mergeCell ref="G66:P66"/>
    <mergeCell ref="G71:P71"/>
    <mergeCell ref="G85:P85"/>
    <mergeCell ref="C95:F95"/>
    <mergeCell ref="C38:D38"/>
    <mergeCell ref="C42:D42"/>
    <mergeCell ref="C50:E50"/>
    <mergeCell ref="C46:E46"/>
    <mergeCell ref="C54:E54"/>
    <mergeCell ref="C63:M63"/>
    <mergeCell ref="C77:F77"/>
    <mergeCell ref="C78:F78"/>
    <mergeCell ref="C80:F80"/>
    <mergeCell ref="C81:F81"/>
    <mergeCell ref="C56:P56"/>
    <mergeCell ref="C74:F74"/>
    <mergeCell ref="C66:F66"/>
    <mergeCell ref="C76:F76"/>
    <mergeCell ref="G65:P65"/>
    <mergeCell ref="H133:P133"/>
    <mergeCell ref="C90:P92"/>
    <mergeCell ref="G72:P72"/>
    <mergeCell ref="G73:P73"/>
    <mergeCell ref="G74:P74"/>
    <mergeCell ref="G75:P75"/>
    <mergeCell ref="G76:P76"/>
    <mergeCell ref="G77:P77"/>
    <mergeCell ref="G78:P78"/>
    <mergeCell ref="G79:P79"/>
    <mergeCell ref="G80:P80"/>
    <mergeCell ref="G81:P81"/>
    <mergeCell ref="G82:P82"/>
    <mergeCell ref="G83:P83"/>
    <mergeCell ref="G84:P84"/>
    <mergeCell ref="C104:P104"/>
    <mergeCell ref="E111:H111"/>
    <mergeCell ref="K112:M112"/>
    <mergeCell ref="K111:M111"/>
    <mergeCell ref="C72:F72"/>
    <mergeCell ref="C75:F75"/>
    <mergeCell ref="E107:H107"/>
    <mergeCell ref="K107:M107"/>
    <mergeCell ref="K109:M109"/>
    <mergeCell ref="C124:O124"/>
    <mergeCell ref="C125:M125"/>
    <mergeCell ref="C126:N126"/>
    <mergeCell ref="C127:N127"/>
    <mergeCell ref="C128:N128"/>
    <mergeCell ref="K115:M115"/>
    <mergeCell ref="E112:H112"/>
    <mergeCell ref="C62:E62"/>
    <mergeCell ref="C60:P60"/>
    <mergeCell ref="C65:F65"/>
    <mergeCell ref="K110:M110"/>
    <mergeCell ref="E109:H109"/>
    <mergeCell ref="C101:H101"/>
    <mergeCell ref="K120:M120"/>
    <mergeCell ref="K121:M121"/>
    <mergeCell ref="K118:M118"/>
    <mergeCell ref="K119:M119"/>
    <mergeCell ref="E113:H113"/>
    <mergeCell ref="E114:H114"/>
    <mergeCell ref="E115:H115"/>
    <mergeCell ref="E116:H116"/>
    <mergeCell ref="E117:H117"/>
    <mergeCell ref="K117:M117"/>
    <mergeCell ref="E118:H118"/>
  </mergeCells>
  <hyperlinks>
    <hyperlink ref="C103:M103" r:id="rId1" display="The drainage characteristics of soil has a control over the loading of Phosphorous into surface water bodies, and therefore the runoff coefficients from various land uses are different in freely draining soil compared to impermeable soil. The user should use the Soilscapes tool (Cranfield soil and Agrifood insitute, 2020) to determine the dominant soil type on their site. Soilscapes can be found at http://www.landis.org.uk/soilscapes/index.cfm" xr:uid="{2011E645-1E21-45C2-BC25-71112B18E0D1}"/>
    <hyperlink ref="C36:M36" r:id="rId2" display="https://gridreferencefinder.com/" xr:uid="{F15C9553-7F37-4BE6-80A4-B50E4FE4D238}"/>
    <hyperlink ref="C125:M125" r:id="rId3" display="a) Go to this link: https://mapapps2.bgs.ac.uk/ukso/home.html?layers=NVZEng" xr:uid="{86B67E0E-642B-4476-BB9F-1C7875A531B5}"/>
  </hyperlinks>
  <pageMargins left="0.7" right="0.7" top="0.75" bottom="0.75" header="0.3" footer="0.3"/>
  <pageSetup paperSize="9" scale="55" fitToWidth="0" fitToHeight="0" orientation="portrait" horizontalDpi="360" verticalDpi="360" r:id="rId4"/>
  <headerFooter>
    <oddHeader>&amp;R&amp;"Calibri"&amp;10&amp;KFF8C00Information Classification: CONTROLLED&amp;1#</oddHeader>
  </headerFooter>
  <rowBreaks count="1" manualBreakCount="1">
    <brk id="45" max="16383" man="1"/>
  </rowBreaks>
  <colBreaks count="1" manualBreakCount="1">
    <brk id="1" max="1048575" man="1"/>
  </colBreaks>
  <customProperties>
    <customPr name="SSC_SHEET_GUID" r:id="rId5"/>
  </customPropertie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18237-27E1-4B8C-80DC-748C21B6732C}">
  <sheetPr>
    <pageSetUpPr fitToPage="1"/>
  </sheetPr>
  <dimension ref="B1:AB56"/>
  <sheetViews>
    <sheetView zoomScale="85" zoomScaleNormal="85" workbookViewId="0">
      <selection activeCell="A49" sqref="A49"/>
    </sheetView>
  </sheetViews>
  <sheetFormatPr defaultRowHeight="12.5" x14ac:dyDescent="0.25"/>
  <cols>
    <col min="2" max="3" width="0.81640625" customWidth="1"/>
    <col min="4" max="4" width="6.453125" hidden="1" customWidth="1"/>
    <col min="5" max="5" width="30.54296875" customWidth="1"/>
    <col min="6" max="6" width="8" customWidth="1"/>
    <col min="7" max="7" width="8.26953125" customWidth="1"/>
    <col min="8" max="8" width="7" customWidth="1"/>
    <col min="9" max="9" width="9.1796875" customWidth="1"/>
    <col min="10" max="10" width="6.54296875" customWidth="1"/>
    <col min="11" max="11" width="7.453125" customWidth="1"/>
    <col min="12" max="12" width="7.81640625" customWidth="1"/>
    <col min="13" max="13" width="7.453125" customWidth="1"/>
    <col min="14" max="14" width="7.81640625" customWidth="1"/>
    <col min="15" max="15" width="6.81640625" customWidth="1"/>
    <col min="16" max="16" width="7.54296875" customWidth="1"/>
    <col min="17" max="17" width="8.1796875" customWidth="1"/>
    <col min="18" max="18" width="7.453125" customWidth="1"/>
    <col min="19" max="19" width="7.54296875" customWidth="1"/>
    <col min="20" max="21" width="7.1796875" customWidth="1"/>
    <col min="22" max="22" width="8.453125" customWidth="1"/>
    <col min="23" max="23" width="9.54296875" customWidth="1"/>
    <col min="24" max="24" width="7.453125" customWidth="1"/>
    <col min="25" max="25" width="8.453125" customWidth="1"/>
    <col min="26" max="26" width="8" customWidth="1"/>
    <col min="27" max="27" width="3.81640625" customWidth="1"/>
    <col min="28" max="28" width="17.1796875" customWidth="1"/>
  </cols>
  <sheetData>
    <row r="1" spans="2:28" ht="13" thickBot="1" x14ac:dyDescent="0.3"/>
    <row r="2" spans="2:28" ht="3.65" customHeight="1" x14ac:dyDescent="0.25">
      <c r="B2" s="1"/>
      <c r="C2" s="2"/>
      <c r="D2" s="2"/>
      <c r="E2" s="2"/>
      <c r="F2" s="2"/>
      <c r="G2" s="2"/>
      <c r="H2" s="2"/>
      <c r="I2" s="2"/>
      <c r="J2" s="2"/>
      <c r="K2" s="2"/>
      <c r="L2" s="2"/>
      <c r="M2" s="2"/>
      <c r="N2" s="2"/>
      <c r="O2" s="2"/>
      <c r="P2" s="2"/>
      <c r="Q2" s="2"/>
      <c r="R2" s="2"/>
      <c r="S2" s="2"/>
      <c r="T2" s="2"/>
      <c r="U2" s="2"/>
      <c r="V2" s="2"/>
      <c r="W2" s="2"/>
      <c r="X2" s="2"/>
      <c r="Y2" s="2"/>
      <c r="Z2" s="2"/>
      <c r="AA2" s="2"/>
      <c r="AB2" s="3"/>
    </row>
    <row r="3" spans="2:28" ht="11.15" customHeight="1" x14ac:dyDescent="0.3">
      <c r="B3" s="4"/>
      <c r="C3" s="5"/>
      <c r="D3" s="5"/>
      <c r="E3" s="75" t="s">
        <v>343</v>
      </c>
      <c r="F3" s="75"/>
      <c r="G3" s="75"/>
      <c r="H3" s="75"/>
      <c r="I3" s="75"/>
      <c r="J3" s="75"/>
      <c r="K3" s="75"/>
      <c r="L3" s="75"/>
      <c r="M3" s="75"/>
      <c r="N3" s="75"/>
      <c r="O3" s="75"/>
      <c r="P3" s="75"/>
      <c r="Q3" s="75"/>
      <c r="R3" s="75"/>
      <c r="S3" s="75"/>
      <c r="T3" s="75"/>
      <c r="U3" s="75"/>
      <c r="V3" s="75"/>
      <c r="W3" s="75"/>
      <c r="X3" s="75"/>
      <c r="Y3" s="75"/>
      <c r="Z3" s="75"/>
      <c r="AA3" s="75"/>
      <c r="AB3" s="83"/>
    </row>
    <row r="4" spans="2:28" ht="2.15" customHeight="1" x14ac:dyDescent="0.3">
      <c r="B4" s="4"/>
      <c r="C4" s="11"/>
      <c r="D4" s="5"/>
      <c r="E4" s="75"/>
      <c r="F4" s="126">
        <v>1</v>
      </c>
      <c r="G4" s="126">
        <v>0.95</v>
      </c>
      <c r="H4" s="126">
        <v>0.9</v>
      </c>
      <c r="I4" s="126">
        <v>0.85</v>
      </c>
      <c r="J4" s="126">
        <v>0.8</v>
      </c>
      <c r="K4" s="126">
        <v>0.75</v>
      </c>
      <c r="L4" s="126">
        <v>0.7</v>
      </c>
      <c r="M4" s="126">
        <v>0.65</v>
      </c>
      <c r="N4" s="126">
        <v>0.6</v>
      </c>
      <c r="O4" s="126">
        <v>0.55000000000000004</v>
      </c>
      <c r="P4" s="126">
        <v>0.5</v>
      </c>
      <c r="Q4" s="127">
        <v>0.45</v>
      </c>
      <c r="R4" s="126">
        <v>0.39999999999999902</v>
      </c>
      <c r="S4" s="127">
        <v>0.34999999999999898</v>
      </c>
      <c r="T4" s="126">
        <v>0.29999999999999899</v>
      </c>
      <c r="U4" s="126">
        <v>0.249999999999999</v>
      </c>
      <c r="V4" s="126">
        <v>0.19999999999999901</v>
      </c>
      <c r="W4" s="126">
        <v>0.149999999999999</v>
      </c>
      <c r="X4" s="126">
        <v>9.9999999999999006E-2</v>
      </c>
      <c r="Y4" s="126">
        <v>4.9999999999998997E-2</v>
      </c>
      <c r="Z4" s="75"/>
      <c r="AA4" s="75"/>
      <c r="AB4" s="83"/>
    </row>
    <row r="5" spans="2:28" ht="13" x14ac:dyDescent="0.3">
      <c r="B5" s="4"/>
      <c r="C5" s="11"/>
      <c r="D5" s="5"/>
      <c r="E5" s="128" t="s">
        <v>344</v>
      </c>
      <c r="F5" s="128">
        <v>100</v>
      </c>
      <c r="G5" s="128">
        <v>95</v>
      </c>
      <c r="H5" s="128">
        <v>90</v>
      </c>
      <c r="I5" s="128">
        <v>85</v>
      </c>
      <c r="J5" s="128">
        <v>80</v>
      </c>
      <c r="K5" s="128">
        <v>75</v>
      </c>
      <c r="L5" s="128">
        <v>70</v>
      </c>
      <c r="M5" s="128">
        <v>65</v>
      </c>
      <c r="N5" s="128">
        <v>60</v>
      </c>
      <c r="O5" s="128">
        <v>55</v>
      </c>
      <c r="P5" s="128">
        <v>50</v>
      </c>
      <c r="Q5" s="128">
        <v>45</v>
      </c>
      <c r="R5" s="128">
        <v>40</v>
      </c>
      <c r="S5" s="128">
        <v>35</v>
      </c>
      <c r="T5" s="128">
        <v>30</v>
      </c>
      <c r="U5" s="128">
        <v>25</v>
      </c>
      <c r="V5" s="128">
        <v>20</v>
      </c>
      <c r="W5" s="128">
        <v>15</v>
      </c>
      <c r="X5" s="128">
        <v>10</v>
      </c>
      <c r="Y5" s="128">
        <v>5</v>
      </c>
      <c r="Z5" s="128">
        <v>0</v>
      </c>
      <c r="AA5" s="128"/>
      <c r="AB5" s="129" t="e">
        <f>'Zero value Calc'!T15</f>
        <v>#DIV/0!</v>
      </c>
    </row>
    <row r="6" spans="2:28" ht="24.65" customHeight="1" x14ac:dyDescent="0.3">
      <c r="B6" s="4"/>
      <c r="C6" s="5"/>
      <c r="D6" s="5"/>
      <c r="E6" s="128" t="s">
        <v>345</v>
      </c>
      <c r="F6" s="128">
        <v>0</v>
      </c>
      <c r="G6" s="128">
        <v>0.05</v>
      </c>
      <c r="H6" s="128">
        <v>0.1</v>
      </c>
      <c r="I6" s="128">
        <v>0.15</v>
      </c>
      <c r="J6" s="128">
        <v>0.2</v>
      </c>
      <c r="K6" s="128">
        <v>0.25</v>
      </c>
      <c r="L6" s="128">
        <v>0.3</v>
      </c>
      <c r="M6" s="128">
        <v>0.35</v>
      </c>
      <c r="N6" s="128">
        <v>0.4</v>
      </c>
      <c r="O6" s="128">
        <v>0.45</v>
      </c>
      <c r="P6" s="128">
        <v>0.5</v>
      </c>
      <c r="Q6" s="128">
        <v>0.55000000000000004</v>
      </c>
      <c r="R6" s="128">
        <v>0.6</v>
      </c>
      <c r="S6" s="128">
        <v>0.65</v>
      </c>
      <c r="T6" s="128">
        <v>0.7</v>
      </c>
      <c r="U6" s="128">
        <v>0.75</v>
      </c>
      <c r="V6" s="128">
        <v>0.8</v>
      </c>
      <c r="W6" s="128">
        <v>0.85</v>
      </c>
      <c r="X6" s="128">
        <v>0.9</v>
      </c>
      <c r="Y6" s="128">
        <v>0.95</v>
      </c>
      <c r="Z6" s="128">
        <v>1</v>
      </c>
      <c r="AA6" s="128"/>
      <c r="AB6" s="130" t="e">
        <f>1-AB5/100</f>
        <v>#DIV/0!</v>
      </c>
    </row>
    <row r="7" spans="2:28" ht="11.15" customHeight="1" x14ac:dyDescent="0.3">
      <c r="B7" s="4"/>
      <c r="C7" s="5"/>
      <c r="D7" s="5"/>
      <c r="E7" s="128" t="s">
        <v>346</v>
      </c>
      <c r="F7" s="131">
        <v>1</v>
      </c>
      <c r="G7" s="131">
        <v>0.95</v>
      </c>
      <c r="H7" s="131">
        <v>0.9</v>
      </c>
      <c r="I7" s="131">
        <v>0.85</v>
      </c>
      <c r="J7" s="131">
        <v>0.8</v>
      </c>
      <c r="K7" s="131">
        <v>0.75</v>
      </c>
      <c r="L7" s="131">
        <v>0.7</v>
      </c>
      <c r="M7" s="131">
        <v>0.65</v>
      </c>
      <c r="N7" s="131">
        <v>0.6</v>
      </c>
      <c r="O7" s="131">
        <v>0.55000000000000004</v>
      </c>
      <c r="P7" s="131">
        <v>0.5</v>
      </c>
      <c r="Q7" s="131">
        <v>0.45</v>
      </c>
      <c r="R7" s="131">
        <v>0.39999999999999902</v>
      </c>
      <c r="S7" s="131">
        <v>0.34999999999999898</v>
      </c>
      <c r="T7" s="131">
        <v>0.29999999999999899</v>
      </c>
      <c r="U7" s="131">
        <v>0.249999999999999</v>
      </c>
      <c r="V7" s="131">
        <v>0.19999999999999901</v>
      </c>
      <c r="W7" s="131">
        <v>0.149999999999999</v>
      </c>
      <c r="X7" s="131">
        <v>9.9999999999999006E-2</v>
      </c>
      <c r="Y7" s="131">
        <v>4.9999999999998997E-2</v>
      </c>
      <c r="Z7" s="131">
        <v>-9.9920072216264108E-16</v>
      </c>
      <c r="AA7" s="128"/>
      <c r="AB7" s="130" t="e">
        <f>AB5/100</f>
        <v>#DIV/0!</v>
      </c>
    </row>
    <row r="8" spans="2:28" ht="11.15" customHeight="1" x14ac:dyDescent="0.3">
      <c r="B8" s="4"/>
      <c r="C8" s="5"/>
      <c r="D8" s="5"/>
      <c r="E8" s="128" t="s">
        <v>347</v>
      </c>
      <c r="F8" s="131">
        <f>('Stage 3'!$K$35)*'Graph Calculations'!F6</f>
        <v>0</v>
      </c>
      <c r="G8" s="131">
        <f>('Stage 3'!$K$35)*'Graph Calculations'!G6</f>
        <v>0</v>
      </c>
      <c r="H8" s="131">
        <f>('Stage 3'!$K$35)*'Graph Calculations'!H6</f>
        <v>0</v>
      </c>
      <c r="I8" s="131">
        <f>('Stage 3'!$K$35)*'Graph Calculations'!I6</f>
        <v>0</v>
      </c>
      <c r="J8" s="131">
        <f>('Stage 3'!$K$35)*'Graph Calculations'!J6</f>
        <v>0</v>
      </c>
      <c r="K8" s="131">
        <f>('Stage 3'!$K$35)*'Graph Calculations'!K6</f>
        <v>0</v>
      </c>
      <c r="L8" s="131">
        <f>('Stage 3'!$K$35)*'Graph Calculations'!L6</f>
        <v>0</v>
      </c>
      <c r="M8" s="131">
        <f>('Stage 3'!$K$35)*'Graph Calculations'!M6</f>
        <v>0</v>
      </c>
      <c r="N8" s="131">
        <f>('Stage 3'!$K$35)*'Graph Calculations'!N6</f>
        <v>0</v>
      </c>
      <c r="O8" s="131">
        <f>('Stage 3'!$K$35)*'Graph Calculations'!O6</f>
        <v>0</v>
      </c>
      <c r="P8" s="131">
        <f>('Stage 3'!$K$35)*'Graph Calculations'!P6</f>
        <v>0</v>
      </c>
      <c r="Q8" s="131">
        <f>('Stage 3'!$K$35)*'Graph Calculations'!Q6</f>
        <v>0</v>
      </c>
      <c r="R8" s="131">
        <f>('Stage 3'!$K$35)*'Graph Calculations'!R6</f>
        <v>0</v>
      </c>
      <c r="S8" s="131">
        <f>('Stage 3'!$K$35)*'Graph Calculations'!S6</f>
        <v>0</v>
      </c>
      <c r="T8" s="131">
        <f>('Stage 3'!$K$35)*'Graph Calculations'!T6</f>
        <v>0</v>
      </c>
      <c r="U8" s="131">
        <f>('Stage 3'!$K$35)*'Graph Calculations'!U6</f>
        <v>0</v>
      </c>
      <c r="V8" s="131">
        <f>('Stage 3'!$K$35)*'Graph Calculations'!V6</f>
        <v>0</v>
      </c>
      <c r="W8" s="131">
        <f>('Stage 3'!$K$35)*'Graph Calculations'!W6</f>
        <v>0</v>
      </c>
      <c r="X8" s="131">
        <f>('Stage 3'!$K$35)*'Graph Calculations'!X6</f>
        <v>0</v>
      </c>
      <c r="Y8" s="131">
        <f>('Stage 3'!$K$35)*'Graph Calculations'!Y6</f>
        <v>0</v>
      </c>
      <c r="Z8" s="131">
        <f>('Stage 3'!$K$35)*'Graph Calculations'!Z6</f>
        <v>0</v>
      </c>
      <c r="AA8" s="128"/>
      <c r="AB8" s="129" t="e">
        <f>('Stage 3'!$K$35)*'Graph Calculations'!AB6</f>
        <v>#DIV/0!</v>
      </c>
    </row>
    <row r="9" spans="2:28" ht="11.15" customHeight="1" x14ac:dyDescent="0.3">
      <c r="B9" s="4"/>
      <c r="C9" s="5"/>
      <c r="D9" s="5"/>
      <c r="E9" s="128" t="s">
        <v>348</v>
      </c>
      <c r="F9" s="131">
        <f>('Zero value Calc'!$K$16*'Data Tables'!$K$11)*F7</f>
        <v>0</v>
      </c>
      <c r="G9" s="131">
        <f>('Zero value Calc'!$K$16*'Data Tables'!$K$11)*G7</f>
        <v>0</v>
      </c>
      <c r="H9" s="131">
        <f>('Zero value Calc'!$K$16*'Data Tables'!$K$11)*H7</f>
        <v>0</v>
      </c>
      <c r="I9" s="131">
        <f>('Zero value Calc'!$K$16*'Data Tables'!$K$11)*I7</f>
        <v>0</v>
      </c>
      <c r="J9" s="131">
        <f>('Zero value Calc'!$K$16*'Data Tables'!$K$11)*J7</f>
        <v>0</v>
      </c>
      <c r="K9" s="131">
        <f>('Zero value Calc'!$K$16*'Data Tables'!$K$11)*K7</f>
        <v>0</v>
      </c>
      <c r="L9" s="131">
        <f>('Zero value Calc'!$K$16*'Data Tables'!$K$11)*L7</f>
        <v>0</v>
      </c>
      <c r="M9" s="131">
        <f>('Zero value Calc'!$K$16*'Data Tables'!$K$11)*M7</f>
        <v>0</v>
      </c>
      <c r="N9" s="131">
        <f>('Zero value Calc'!$K$16*'Data Tables'!$K$11)*N7</f>
        <v>0</v>
      </c>
      <c r="O9" s="131">
        <f>('Zero value Calc'!$K$16*'Data Tables'!$K$11)*O7</f>
        <v>0</v>
      </c>
      <c r="P9" s="131">
        <f>('Zero value Calc'!$K$16*'Data Tables'!$K$11)*P7</f>
        <v>0</v>
      </c>
      <c r="Q9" s="131">
        <f>('Zero value Calc'!$K$16*'Data Tables'!$K$11)*Q7</f>
        <v>0</v>
      </c>
      <c r="R9" s="131">
        <f>('Zero value Calc'!$K$16*'Data Tables'!$K$11)*R7</f>
        <v>0</v>
      </c>
      <c r="S9" s="131">
        <f>('Zero value Calc'!$K$16*'Data Tables'!$K$11)*S7</f>
        <v>0</v>
      </c>
      <c r="T9" s="131">
        <f>('Zero value Calc'!$K$16*'Data Tables'!$K$11)*T7</f>
        <v>0</v>
      </c>
      <c r="U9" s="131">
        <f>('Zero value Calc'!$K$16*'Data Tables'!$K$11)*U7</f>
        <v>0</v>
      </c>
      <c r="V9" s="131">
        <f>('Zero value Calc'!$K$16*'Data Tables'!$K$11)*V7</f>
        <v>0</v>
      </c>
      <c r="W9" s="131">
        <f>('Zero value Calc'!$K$16*'Data Tables'!$K$11)*W7</f>
        <v>0</v>
      </c>
      <c r="X9" s="131">
        <f>('Zero value Calc'!$K$16*'Data Tables'!$K$11)*X7</f>
        <v>0</v>
      </c>
      <c r="Y9" s="131">
        <f>('Zero value Calc'!$K$16*'Data Tables'!$K$11)*Y7</f>
        <v>0</v>
      </c>
      <c r="Z9" s="131">
        <f>('Zero value Calc'!$K$16*'Data Tables'!$K$11)*Z7</f>
        <v>0</v>
      </c>
      <c r="AA9" s="131"/>
      <c r="AB9" s="129" t="e">
        <f>('Zero value Calc'!$K$16*'Data Tables'!$K$11)*AB7</f>
        <v>#DIV/0!</v>
      </c>
    </row>
    <row r="10" spans="2:28" ht="16" customHeight="1" x14ac:dyDescent="0.3">
      <c r="B10" s="4"/>
      <c r="C10" s="10"/>
      <c r="D10" s="5"/>
      <c r="E10" s="128" t="s">
        <v>349</v>
      </c>
      <c r="F10" s="131">
        <f>SUM(F8:F9)</f>
        <v>0</v>
      </c>
      <c r="G10" s="131">
        <f t="shared" ref="G10:Z10" si="0">SUM(G8:G9)</f>
        <v>0</v>
      </c>
      <c r="H10" s="131">
        <f t="shared" si="0"/>
        <v>0</v>
      </c>
      <c r="I10" s="131">
        <f t="shared" si="0"/>
        <v>0</v>
      </c>
      <c r="J10" s="131">
        <f t="shared" si="0"/>
        <v>0</v>
      </c>
      <c r="K10" s="131">
        <f t="shared" si="0"/>
        <v>0</v>
      </c>
      <c r="L10" s="131">
        <f>SUM(L8:L9)</f>
        <v>0</v>
      </c>
      <c r="M10" s="131">
        <f t="shared" si="0"/>
        <v>0</v>
      </c>
      <c r="N10" s="131">
        <f t="shared" si="0"/>
        <v>0</v>
      </c>
      <c r="O10" s="131">
        <f t="shared" si="0"/>
        <v>0</v>
      </c>
      <c r="P10" s="131">
        <f t="shared" si="0"/>
        <v>0</v>
      </c>
      <c r="Q10" s="131">
        <f t="shared" si="0"/>
        <v>0</v>
      </c>
      <c r="R10" s="131">
        <f t="shared" si="0"/>
        <v>0</v>
      </c>
      <c r="S10" s="131">
        <f t="shared" si="0"/>
        <v>0</v>
      </c>
      <c r="T10" s="131">
        <f t="shared" si="0"/>
        <v>0</v>
      </c>
      <c r="U10" s="131">
        <f t="shared" si="0"/>
        <v>0</v>
      </c>
      <c r="V10" s="131">
        <f t="shared" si="0"/>
        <v>0</v>
      </c>
      <c r="W10" s="131">
        <f t="shared" si="0"/>
        <v>0</v>
      </c>
      <c r="X10" s="131">
        <f t="shared" si="0"/>
        <v>0</v>
      </c>
      <c r="Y10" s="131">
        <f t="shared" si="0"/>
        <v>0</v>
      </c>
      <c r="Z10" s="131">
        <f t="shared" si="0"/>
        <v>0</v>
      </c>
      <c r="AA10" s="131"/>
      <c r="AB10" s="129" t="e">
        <f t="shared" ref="AB10" si="1">SUM(AB8:AB9)</f>
        <v>#DIV/0!</v>
      </c>
    </row>
    <row r="11" spans="2:28" ht="12" customHeight="1" x14ac:dyDescent="0.3">
      <c r="B11" s="4"/>
      <c r="C11" s="5"/>
      <c r="D11" s="5"/>
      <c r="E11" s="128" t="s">
        <v>350</v>
      </c>
      <c r="F11" s="131">
        <f>F10-'Zero value Calc'!$K$19</f>
        <v>0</v>
      </c>
      <c r="G11" s="131">
        <f>G10-'Zero value Calc'!$K$19</f>
        <v>0</v>
      </c>
      <c r="H11" s="131">
        <f>H10-'Zero value Calc'!$K$19</f>
        <v>0</v>
      </c>
      <c r="I11" s="131">
        <f>I10-'Zero value Calc'!$K$19</f>
        <v>0</v>
      </c>
      <c r="J11" s="131">
        <f>J10-'Zero value Calc'!$K$19</f>
        <v>0</v>
      </c>
      <c r="K11" s="131">
        <f>K10-'Zero value Calc'!$K$19</f>
        <v>0</v>
      </c>
      <c r="L11" s="131">
        <f>L10-'Zero value Calc'!$K$19</f>
        <v>0</v>
      </c>
      <c r="M11" s="131">
        <f>M10-'Zero value Calc'!$K$19</f>
        <v>0</v>
      </c>
      <c r="N11" s="131">
        <f>N10-'Zero value Calc'!$K$19</f>
        <v>0</v>
      </c>
      <c r="O11" s="131">
        <f>O10-'Zero value Calc'!$K$19</f>
        <v>0</v>
      </c>
      <c r="P11" s="131">
        <f>P10-'Zero value Calc'!$K$19</f>
        <v>0</v>
      </c>
      <c r="Q11" s="131">
        <f>Q10-'Zero value Calc'!$K$19</f>
        <v>0</v>
      </c>
      <c r="R11" s="131">
        <f>R10-'Zero value Calc'!$K$19</f>
        <v>0</v>
      </c>
      <c r="S11" s="131">
        <f>S10-'Zero value Calc'!$K$19</f>
        <v>0</v>
      </c>
      <c r="T11" s="131">
        <f>T10-'Zero value Calc'!$K$19</f>
        <v>0</v>
      </c>
      <c r="U11" s="131">
        <f>U10-'Zero value Calc'!$K$19</f>
        <v>0</v>
      </c>
      <c r="V11" s="131">
        <f>V10-'Zero value Calc'!$K$19</f>
        <v>0</v>
      </c>
      <c r="W11" s="131">
        <f>W10-'Zero value Calc'!$K$19</f>
        <v>0</v>
      </c>
      <c r="X11" s="131">
        <f>X10-'Zero value Calc'!$K$19</f>
        <v>0</v>
      </c>
      <c r="Y11" s="131">
        <f>Y10-'Zero value Calc'!$K$19</f>
        <v>0</v>
      </c>
      <c r="Z11" s="131">
        <f>Z10-'Zero value Calc'!$K$19</f>
        <v>0</v>
      </c>
      <c r="AA11" s="131"/>
      <c r="AB11" s="129" t="e">
        <f>AB10-'Zero value Calc'!$K$19</f>
        <v>#DIV/0!</v>
      </c>
    </row>
    <row r="12" spans="2:28" ht="13" x14ac:dyDescent="0.3">
      <c r="B12" s="4"/>
      <c r="C12" s="5"/>
      <c r="D12" s="5"/>
      <c r="E12" s="128" t="s">
        <v>351</v>
      </c>
      <c r="F12" s="131" t="e">
        <f>('Zero value Calc'!$K$15/'Zero value Calc'!$K$16)*(F6*'Zero value Calc'!$K$16)</f>
        <v>#DIV/0!</v>
      </c>
      <c r="G12" s="131" t="e">
        <f>('Zero value Calc'!$K$15/'Zero value Calc'!$K$16)*(G6*'Zero value Calc'!$K$16)</f>
        <v>#DIV/0!</v>
      </c>
      <c r="H12" s="131" t="e">
        <f>('Zero value Calc'!$K$15/'Zero value Calc'!$K$16)*(H6*'Zero value Calc'!$K$16)</f>
        <v>#DIV/0!</v>
      </c>
      <c r="I12" s="131" t="e">
        <f>('Zero value Calc'!$K$15/'Zero value Calc'!$K$16)*(I6*'Zero value Calc'!$K$16)</f>
        <v>#DIV/0!</v>
      </c>
      <c r="J12" s="131" t="e">
        <f>('Zero value Calc'!$K$15/'Zero value Calc'!$K$16)*(J6*'Zero value Calc'!$K$16)</f>
        <v>#DIV/0!</v>
      </c>
      <c r="K12" s="131" t="e">
        <f>('Zero value Calc'!$K$15/'Zero value Calc'!$K$16)*(K6*'Zero value Calc'!$K$16)</f>
        <v>#DIV/0!</v>
      </c>
      <c r="L12" s="131" t="e">
        <f>('Zero value Calc'!$K$15/'Zero value Calc'!$K$16)*(L6*'Zero value Calc'!$K$16)</f>
        <v>#DIV/0!</v>
      </c>
      <c r="M12" s="131" t="e">
        <f>('Zero value Calc'!$K$15/'Zero value Calc'!$K$16)*(M6*'Zero value Calc'!$K$16)</f>
        <v>#DIV/0!</v>
      </c>
      <c r="N12" s="131" t="e">
        <f>('Zero value Calc'!$K$15/'Zero value Calc'!$K$16)*(N6*'Zero value Calc'!$K$16)</f>
        <v>#DIV/0!</v>
      </c>
      <c r="O12" s="131" t="e">
        <f>('Zero value Calc'!$K$15/'Zero value Calc'!$K$16)*(O6*'Zero value Calc'!$K$16)</f>
        <v>#DIV/0!</v>
      </c>
      <c r="P12" s="131" t="e">
        <f>('Zero value Calc'!$K$15/'Zero value Calc'!$K$16)*(P6*'Zero value Calc'!$K$16)</f>
        <v>#DIV/0!</v>
      </c>
      <c r="Q12" s="131" t="e">
        <f>('Zero value Calc'!$K$15/'Zero value Calc'!$K$16)*(Q6*'Zero value Calc'!$K$16)</f>
        <v>#DIV/0!</v>
      </c>
      <c r="R12" s="131" t="e">
        <f>('Zero value Calc'!$K$15/'Zero value Calc'!$K$16)*(R6*'Zero value Calc'!$K$16)</f>
        <v>#DIV/0!</v>
      </c>
      <c r="S12" s="131" t="e">
        <f>('Zero value Calc'!$K$15/'Zero value Calc'!$K$16)*(S6*'Zero value Calc'!$K$16)</f>
        <v>#DIV/0!</v>
      </c>
      <c r="T12" s="131" t="e">
        <f>('Zero value Calc'!$K$15/'Zero value Calc'!$K$16)*(T6*'Zero value Calc'!$K$16)</f>
        <v>#DIV/0!</v>
      </c>
      <c r="U12" s="131" t="e">
        <f>('Zero value Calc'!$K$15/'Zero value Calc'!$K$16)*(U6*'Zero value Calc'!$K$16)</f>
        <v>#DIV/0!</v>
      </c>
      <c r="V12" s="131" t="e">
        <f>('Zero value Calc'!$K$15/'Zero value Calc'!$K$16)*(V6*'Zero value Calc'!$K$16)</f>
        <v>#DIV/0!</v>
      </c>
      <c r="W12" s="131" t="e">
        <f>('Zero value Calc'!$K$15/'Zero value Calc'!$K$16)*(W6*'Zero value Calc'!$K$16)</f>
        <v>#DIV/0!</v>
      </c>
      <c r="X12" s="131" t="e">
        <f>('Zero value Calc'!$K$15/'Zero value Calc'!$K$16)*(X6*'Zero value Calc'!$K$16)</f>
        <v>#DIV/0!</v>
      </c>
      <c r="Y12" s="131" t="e">
        <f>('Zero value Calc'!$K$15/'Zero value Calc'!$K$16)*(Y6*'Zero value Calc'!$K$16)</f>
        <v>#DIV/0!</v>
      </c>
      <c r="Z12" s="131" t="e">
        <f>('Zero value Calc'!$K$15/'Zero value Calc'!$K$16)*(Z6*'Zero value Calc'!$K$16)</f>
        <v>#DIV/0!</v>
      </c>
      <c r="AA12" s="131"/>
      <c r="AB12" s="129" t="e">
        <f>('Zero value Calc'!$K$15/'Zero value Calc'!$K$16)*(AB6*'Zero value Calc'!$K$16)</f>
        <v>#DIV/0!</v>
      </c>
    </row>
    <row r="13" spans="2:28" ht="13" x14ac:dyDescent="0.3">
      <c r="B13" s="4"/>
      <c r="C13" s="5"/>
      <c r="D13" s="5"/>
      <c r="E13" s="128" t="s">
        <v>352</v>
      </c>
      <c r="F13" s="131" t="e">
        <f>((((F12*(IF('Zero value Calc'!$G$11="House",'Stage 1'!$W$12,0)+IF('Zero value Calc'!$G$11="Hotel / quest house",'Stage 1'!$W$18,0))*'Stage 1'!$W$27)*'Stage 1'!$K$46)/1000000)*365.25)</f>
        <v>#DIV/0!</v>
      </c>
      <c r="G13" s="131" t="e">
        <f>((((G12*(IF('Zero value Calc'!$G$11="House",'Stage 1'!$W$12,0)+IF('Zero value Calc'!$G$11="Hotel / quest house",'Stage 1'!$W$18,0))*'Stage 1'!$W$27)*'Stage 1'!$K$46)/1000000)*365.25)</f>
        <v>#DIV/0!</v>
      </c>
      <c r="H13" s="131" t="e">
        <f>((((H12*(IF('Zero value Calc'!$G$11="House",'Stage 1'!$W$12,0)+IF('Zero value Calc'!$G$11="Hotel / quest house",'Stage 1'!$W$18,0))*'Stage 1'!$W$27)*'Stage 1'!$K$46)/1000000)*365.25)</f>
        <v>#DIV/0!</v>
      </c>
      <c r="I13" s="131" t="e">
        <f>((((I12*(IF('Zero value Calc'!$G$11="House",'Stage 1'!$W$12,0)+IF('Zero value Calc'!$G$11="Hotel / quest house",'Stage 1'!$W$18,0))*'Stage 1'!$W$27)*'Stage 1'!$K$46)/1000000)*365.25)</f>
        <v>#DIV/0!</v>
      </c>
      <c r="J13" s="131" t="e">
        <f>((((J12*(IF('Zero value Calc'!$G$11="House",'Stage 1'!$W$12,0)+IF('Zero value Calc'!$G$11="Hotel / quest house",'Stage 1'!$W$18,0))*'Stage 1'!$W$27)*'Stage 1'!$K$46)/1000000)*365.25)</f>
        <v>#DIV/0!</v>
      </c>
      <c r="K13" s="131" t="e">
        <f>((((K12*(IF('Zero value Calc'!$G$11="House",'Stage 1'!$W$12,0)+IF('Zero value Calc'!$G$11="Hotel / quest house",'Stage 1'!$W$18,0))*'Stage 1'!$W$27)*'Stage 1'!$K$46)/1000000)*365.25)</f>
        <v>#DIV/0!</v>
      </c>
      <c r="L13" s="131" t="e">
        <f>((((L12*(IF('Zero value Calc'!$G$11="House",'Stage 1'!$W$12,0)+IF('Zero value Calc'!$G$11="Hotel / quest house",'Stage 1'!$W$18,0))*'Stage 1'!$W$27)*'Stage 1'!$K$46)/1000000)*365.25)</f>
        <v>#DIV/0!</v>
      </c>
      <c r="M13" s="131" t="e">
        <f>((((M12*(IF('Zero value Calc'!$G$11="House",'Stage 1'!$W$12,0)+IF('Zero value Calc'!$G$11="Hotel / quest house",'Stage 1'!$W$18,0))*'Stage 1'!$W$27)*'Stage 1'!$K$46)/1000000)*365.25)</f>
        <v>#DIV/0!</v>
      </c>
      <c r="N13" s="131" t="e">
        <f>((((N12*(IF('Zero value Calc'!$G$11="House",'Stage 1'!$W$12,0)+IF('Zero value Calc'!$G$11="Hotel / quest house",'Stage 1'!$W$18,0))*'Stage 1'!$W$27)*'Stage 1'!$K$46)/1000000)*365.25)</f>
        <v>#DIV/0!</v>
      </c>
      <c r="O13" s="131" t="e">
        <f>((((O12*(IF('Zero value Calc'!$G$11="House",'Stage 1'!$W$12,0)+IF('Zero value Calc'!$G$11="Hotel / quest house",'Stage 1'!$W$18,0))*'Stage 1'!$W$27)*'Stage 1'!$K$46)/1000000)*365.25)</f>
        <v>#DIV/0!</v>
      </c>
      <c r="P13" s="131" t="e">
        <f>((((P12*(IF('Zero value Calc'!$G$11="House",'Stage 1'!$W$12,0)+IF('Zero value Calc'!$G$11="Hotel / quest house",'Stage 1'!$W$18,0))*'Stage 1'!$W$27)*'Stage 1'!$K$46)/1000000)*365.25)</f>
        <v>#DIV/0!</v>
      </c>
      <c r="Q13" s="131" t="e">
        <f>((((Q12*(IF('Zero value Calc'!$G$11="House",'Stage 1'!$W$12,0)+IF('Zero value Calc'!$G$11="Hotel / quest house",'Stage 1'!$W$18,0))*'Stage 1'!$W$27)*'Stage 1'!$K$46)/1000000)*365.25)</f>
        <v>#DIV/0!</v>
      </c>
      <c r="R13" s="131" t="e">
        <f>((((R12*(IF('Zero value Calc'!$G$11="House",'Stage 1'!$W$12,0)+IF('Zero value Calc'!$G$11="Hotel / quest house",'Stage 1'!$W$18,0))*'Stage 1'!$W$27)*'Stage 1'!$K$46)/1000000)*365.25)</f>
        <v>#DIV/0!</v>
      </c>
      <c r="S13" s="131" t="e">
        <f>((((S12*(IF('Zero value Calc'!$G$11="House",'Stage 1'!$W$12,0)+IF('Zero value Calc'!$G$11="Hotel / quest house",'Stage 1'!$W$18,0))*'Stage 1'!$W$27)*'Stage 1'!$K$46)/1000000)*365.25)</f>
        <v>#DIV/0!</v>
      </c>
      <c r="T13" s="131" t="e">
        <f>((((T12*(IF('Zero value Calc'!$G$11="House",'Stage 1'!$W$12,0)+IF('Zero value Calc'!$G$11="Hotel / quest house",'Stage 1'!$W$18,0))*'Stage 1'!$W$27)*'Stage 1'!$K$46)/1000000)*365.25)</f>
        <v>#DIV/0!</v>
      </c>
      <c r="U13" s="131" t="e">
        <f>((((U12*(IF('Zero value Calc'!$G$11="House",'Stage 1'!$W$12,0)+IF('Zero value Calc'!$G$11="Hotel / quest house",'Stage 1'!$W$18,0))*'Stage 1'!$W$27)*'Stage 1'!$K$46)/1000000)*365.25)</f>
        <v>#DIV/0!</v>
      </c>
      <c r="V13" s="131" t="e">
        <f>((((V12*(IF('Zero value Calc'!$G$11="House",'Stage 1'!$W$12,0)+IF('Zero value Calc'!$G$11="Hotel / quest house",'Stage 1'!$W$18,0))*'Stage 1'!$W$27)*'Stage 1'!$K$46)/1000000)*365.25)</f>
        <v>#DIV/0!</v>
      </c>
      <c r="W13" s="131" t="e">
        <f>((((W12*(IF('Zero value Calc'!$G$11="House",'Stage 1'!$W$12,0)+IF('Zero value Calc'!$G$11="Hotel / quest house",'Stage 1'!$W$18,0))*'Stage 1'!$W$27)*'Stage 1'!$K$46)/1000000)*365.25)</f>
        <v>#DIV/0!</v>
      </c>
      <c r="X13" s="131" t="e">
        <f>((((X12*(IF('Zero value Calc'!$G$11="House",'Stage 1'!$W$12,0)+IF('Zero value Calc'!$G$11="Hotel / quest house",'Stage 1'!$W$18,0))*'Stage 1'!$W$27)*'Stage 1'!$K$46)/1000000)*365.25)</f>
        <v>#DIV/0!</v>
      </c>
      <c r="Y13" s="131" t="e">
        <f>((((Y12*(IF('Zero value Calc'!$G$11="House",'Stage 1'!$W$12,0)+IF('Zero value Calc'!$G$11="Hotel / quest house",'Stage 1'!$W$18,0))*'Stage 1'!$W$27)*'Stage 1'!$K$46)/1000000)*365.25)</f>
        <v>#DIV/0!</v>
      </c>
      <c r="Z13" s="131" t="e">
        <f>((((Z12*(IF('Zero value Calc'!$G$11="House",'Stage 1'!$W$12,0)+IF('Zero value Calc'!$G$11="Hotel / quest house",'Stage 1'!$W$18,0))*'Stage 1'!$W$27)*'Stage 1'!$K$46)/1000000)*365.25)</f>
        <v>#DIV/0!</v>
      </c>
      <c r="AA13" s="131"/>
      <c r="AB13" s="132" t="e">
        <f>((((AB12*(IF('Zero value Calc'!$G$11="House",'Stage 1'!$W$12,0)+IF('Zero value Calc'!$G$11="Hotel / quest house",'Stage 1'!$W$18,0)))*'Stage 1'!$W$27)*'Stage 1'!$K$46)/1000000)*365.25</f>
        <v>#DIV/0!</v>
      </c>
    </row>
    <row r="14" spans="2:28" ht="12" customHeight="1" x14ac:dyDescent="0.3">
      <c r="B14" s="4"/>
      <c r="C14" s="5"/>
      <c r="D14" s="5"/>
      <c r="E14" s="128" t="s">
        <v>353</v>
      </c>
      <c r="F14" s="131" t="e">
        <f>F11+F13</f>
        <v>#DIV/0!</v>
      </c>
      <c r="G14" s="131" t="e">
        <f t="shared" ref="G14:Z14" si="2">G11+G13</f>
        <v>#DIV/0!</v>
      </c>
      <c r="H14" s="131" t="e">
        <f t="shared" si="2"/>
        <v>#DIV/0!</v>
      </c>
      <c r="I14" s="131" t="e">
        <f t="shared" si="2"/>
        <v>#DIV/0!</v>
      </c>
      <c r="J14" s="131" t="e">
        <f t="shared" si="2"/>
        <v>#DIV/0!</v>
      </c>
      <c r="K14" s="131" t="e">
        <f t="shared" si="2"/>
        <v>#DIV/0!</v>
      </c>
      <c r="L14" s="131" t="e">
        <f t="shared" si="2"/>
        <v>#DIV/0!</v>
      </c>
      <c r="M14" s="131" t="e">
        <f t="shared" si="2"/>
        <v>#DIV/0!</v>
      </c>
      <c r="N14" s="131" t="e">
        <f t="shared" si="2"/>
        <v>#DIV/0!</v>
      </c>
      <c r="O14" s="131" t="e">
        <f t="shared" si="2"/>
        <v>#DIV/0!</v>
      </c>
      <c r="P14" s="131" t="e">
        <f t="shared" si="2"/>
        <v>#DIV/0!</v>
      </c>
      <c r="Q14" s="131" t="e">
        <f t="shared" si="2"/>
        <v>#DIV/0!</v>
      </c>
      <c r="R14" s="131" t="e">
        <f t="shared" si="2"/>
        <v>#DIV/0!</v>
      </c>
      <c r="S14" s="131" t="e">
        <f t="shared" si="2"/>
        <v>#DIV/0!</v>
      </c>
      <c r="T14" s="131" t="e">
        <f t="shared" si="2"/>
        <v>#DIV/0!</v>
      </c>
      <c r="U14" s="131" t="e">
        <f t="shared" si="2"/>
        <v>#DIV/0!</v>
      </c>
      <c r="V14" s="131" t="e">
        <f t="shared" si="2"/>
        <v>#DIV/0!</v>
      </c>
      <c r="W14" s="131" t="e">
        <f t="shared" si="2"/>
        <v>#DIV/0!</v>
      </c>
      <c r="X14" s="131" t="e">
        <f t="shared" si="2"/>
        <v>#DIV/0!</v>
      </c>
      <c r="Y14" s="131" t="e">
        <f t="shared" si="2"/>
        <v>#DIV/0!</v>
      </c>
      <c r="Z14" s="131" t="e">
        <f t="shared" si="2"/>
        <v>#DIV/0!</v>
      </c>
      <c r="AA14" s="131"/>
      <c r="AB14" s="129" t="e">
        <f t="shared" ref="AB14" si="3">AB11+AB13</f>
        <v>#DIV/0!</v>
      </c>
    </row>
    <row r="15" spans="2:28" ht="5.5" customHeight="1" x14ac:dyDescent="0.3">
      <c r="B15" s="4"/>
      <c r="C15" s="5"/>
      <c r="D15" s="5"/>
      <c r="E15" s="75"/>
      <c r="F15" s="120"/>
      <c r="G15" s="120"/>
      <c r="H15" s="120"/>
      <c r="I15" s="120"/>
      <c r="J15" s="120"/>
      <c r="K15" s="120"/>
      <c r="L15" s="120"/>
      <c r="M15" s="120"/>
      <c r="N15" s="120"/>
      <c r="O15" s="120"/>
      <c r="P15" s="120"/>
      <c r="Q15" s="120"/>
      <c r="R15" s="120"/>
      <c r="S15" s="120"/>
      <c r="T15" s="120"/>
      <c r="U15" s="120"/>
      <c r="V15" s="120"/>
      <c r="W15" s="120"/>
      <c r="X15" s="120"/>
      <c r="Y15" s="120"/>
      <c r="Z15" s="120"/>
      <c r="AA15" s="120"/>
      <c r="AB15" s="191"/>
    </row>
    <row r="16" spans="2:28" ht="6" customHeight="1" thickBot="1" x14ac:dyDescent="0.3">
      <c r="B16" s="7"/>
      <c r="C16" s="8"/>
      <c r="D16" s="8"/>
      <c r="E16" s="8"/>
      <c r="F16" s="8"/>
      <c r="G16" s="8"/>
      <c r="H16" s="8"/>
      <c r="I16" s="8"/>
      <c r="J16" s="8"/>
      <c r="K16" s="8"/>
      <c r="L16" s="8"/>
      <c r="M16" s="8"/>
      <c r="N16" s="8"/>
      <c r="O16" s="8"/>
      <c r="P16" s="8"/>
      <c r="Q16" s="8"/>
      <c r="R16" s="8"/>
      <c r="S16" s="8"/>
      <c r="T16" s="8"/>
      <c r="U16" s="8"/>
      <c r="V16" s="8"/>
      <c r="W16" s="8"/>
      <c r="X16" s="8"/>
      <c r="Y16" s="8"/>
      <c r="Z16" s="8"/>
      <c r="AA16" s="8"/>
      <c r="AB16" s="9"/>
    </row>
    <row r="18" spans="4:4" ht="6.65" customHeight="1" x14ac:dyDescent="0.25"/>
    <row r="23" spans="4:4" ht="6" customHeight="1" x14ac:dyDescent="0.25"/>
    <row r="24" spans="4:4" ht="16" customHeight="1" x14ac:dyDescent="0.25"/>
    <row r="25" spans="4:4" ht="15" customHeight="1" x14ac:dyDescent="0.25"/>
    <row r="26" spans="4:4" x14ac:dyDescent="0.25">
      <c r="D26" t="s">
        <v>354</v>
      </c>
    </row>
    <row r="27" spans="4:4" ht="12.65" customHeight="1" x14ac:dyDescent="0.25"/>
    <row r="28" spans="4:4" ht="23.5" customHeight="1" x14ac:dyDescent="0.25">
      <c r="D28" t="s">
        <v>355</v>
      </c>
    </row>
    <row r="29" spans="4:4" ht="1.5" customHeight="1" x14ac:dyDescent="0.25"/>
    <row r="30" spans="4:4" x14ac:dyDescent="0.25">
      <c r="D30" t="s">
        <v>356</v>
      </c>
    </row>
    <row r="32" spans="4:4" ht="6.65" customHeight="1" x14ac:dyDescent="0.25"/>
    <row r="36" spans="4:12" ht="12.65" customHeight="1" x14ac:dyDescent="0.25"/>
    <row r="37" spans="4:12" ht="35.5" customHeight="1" x14ac:dyDescent="0.25"/>
    <row r="38" spans="4:12" ht="13" customHeight="1" x14ac:dyDescent="0.25"/>
    <row r="39" spans="4:12" ht="13" customHeight="1" x14ac:dyDescent="0.25"/>
    <row r="40" spans="4:12" ht="35.5" customHeight="1" x14ac:dyDescent="0.25"/>
    <row r="41" spans="4:12" ht="6" customHeight="1" thickBot="1" x14ac:dyDescent="0.3">
      <c r="D41" s="34"/>
    </row>
    <row r="43" spans="4:12" x14ac:dyDescent="0.25">
      <c r="L43" s="13"/>
    </row>
    <row r="44" spans="4:12" ht="13" x14ac:dyDescent="0.3">
      <c r="E44" s="16"/>
      <c r="F44" s="16"/>
      <c r="I44" s="16"/>
    </row>
    <row r="47" spans="4:12" x14ac:dyDescent="0.25">
      <c r="I47" s="13"/>
    </row>
    <row r="48" spans="4:12" x14ac:dyDescent="0.25">
      <c r="I48" s="13"/>
    </row>
    <row r="49" spans="5:11" x14ac:dyDescent="0.25">
      <c r="I49" s="13"/>
    </row>
    <row r="50" spans="5:11" x14ac:dyDescent="0.25">
      <c r="E50" s="14"/>
      <c r="I50" s="13"/>
    </row>
    <row r="51" spans="5:11" x14ac:dyDescent="0.25">
      <c r="I51" s="13"/>
    </row>
    <row r="56" spans="5:11" ht="13" x14ac:dyDescent="0.3">
      <c r="J56" s="16"/>
      <c r="K56" s="16"/>
    </row>
  </sheetData>
  <sheetProtection formatCells="0" formatColumns="0" formatRows="0" insertColumns="0" insertRows="0" insertHyperlinks="0" selectLockedCells="1" sort="0" autoFilter="0" pivotTables="0"/>
  <dataConsolidate/>
  <pageMargins left="0.70866141732283472" right="0.70866141732283472" top="0.74803149606299213" bottom="0.74803149606299213" header="0.31496062992125984" footer="0.31496062992125984"/>
  <pageSetup paperSize="9" scale="95" orientation="landscape" horizontalDpi="360" verticalDpi="360" r:id="rId1"/>
  <headerFooter>
    <oddHeader>&amp;LPhosphate Budget Calculator&amp;CStage 4&amp;R&amp;"Calibri"&amp;10&amp;KFF8C00Information Classification: CONTROLLED&amp;1#</oddHeader>
    <oddFooter>&amp;LVersion 2.2&amp;R&amp;D</oddFooter>
  </headerFooter>
  <customProperties>
    <customPr name="SSC_SHEET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9C5DF-D421-492F-A3F8-98DDEDDA192C}">
  <sheetPr>
    <tabColor theme="8" tint="0.79998168889431442"/>
    <pageSetUpPr fitToPage="1"/>
  </sheetPr>
  <dimension ref="B1:AX101"/>
  <sheetViews>
    <sheetView topLeftCell="A2" zoomScaleNormal="100" workbookViewId="0">
      <selection activeCell="L15" sqref="L15:M15"/>
    </sheetView>
  </sheetViews>
  <sheetFormatPr defaultColWidth="8.7265625" defaultRowHeight="12.5" zeroHeight="1" x14ac:dyDescent="0.25"/>
  <cols>
    <col min="2" max="3" width="0.81640625" customWidth="1"/>
    <col min="4" max="4" width="2.26953125" customWidth="1"/>
    <col min="5" max="5" width="10" customWidth="1"/>
    <col min="7" max="7" width="10" customWidth="1"/>
    <col min="8" max="8" width="10.26953125" customWidth="1"/>
    <col min="9" max="9" width="14" customWidth="1"/>
    <col min="10" max="10" width="13.54296875" customWidth="1"/>
    <col min="11" max="11" width="9.54296875" customWidth="1"/>
    <col min="12" max="12" width="11.7265625" customWidth="1"/>
    <col min="13" max="13" width="2.26953125" customWidth="1"/>
    <col min="14" max="14" width="10.54296875" customWidth="1"/>
    <col min="15" max="15" width="11.1796875" customWidth="1"/>
    <col min="16" max="16" width="10.54296875" customWidth="1"/>
    <col min="17" max="17" width="2.26953125" customWidth="1"/>
    <col min="18" max="18" width="10.1796875" customWidth="1"/>
    <col min="19" max="19" width="5.453125" customWidth="1"/>
    <col min="20" max="20" width="0.81640625" customWidth="1"/>
    <col min="21" max="21" width="12.26953125" customWidth="1"/>
    <col min="23" max="23" width="25.54296875" customWidth="1"/>
    <col min="24" max="24" width="18.1796875" customWidth="1"/>
    <col min="25" max="25" width="10.1796875" hidden="1" customWidth="1"/>
    <col min="26" max="26" width="3.1796875" customWidth="1"/>
    <col min="31" max="31" width="8.7265625" customWidth="1"/>
  </cols>
  <sheetData>
    <row r="1" spans="2:26" ht="13" hidden="1" thickBot="1" x14ac:dyDescent="0.3"/>
    <row r="2" spans="2:26" ht="9" customHeight="1" x14ac:dyDescent="0.3">
      <c r="B2" s="79"/>
      <c r="C2" s="80"/>
      <c r="D2" s="80"/>
      <c r="E2" s="80"/>
      <c r="F2" s="80"/>
      <c r="G2" s="80"/>
      <c r="H2" s="80"/>
      <c r="I2" s="80"/>
      <c r="J2" s="80"/>
      <c r="K2" s="80"/>
      <c r="L2" s="80"/>
      <c r="M2" s="80"/>
      <c r="N2" s="80"/>
      <c r="O2" s="80"/>
      <c r="P2" s="80"/>
      <c r="Q2" s="80"/>
      <c r="R2" s="80"/>
      <c r="S2" s="80"/>
      <c r="T2" s="81"/>
      <c r="U2" s="78"/>
      <c r="V2" s="78"/>
      <c r="W2" s="78"/>
      <c r="X2" s="78"/>
      <c r="Y2" s="78"/>
      <c r="Z2" s="78"/>
    </row>
    <row r="3" spans="2:26" ht="28.5" customHeight="1" x14ac:dyDescent="0.3">
      <c r="B3" s="82"/>
      <c r="C3" s="39"/>
      <c r="D3" s="108"/>
      <c r="E3" s="285" t="s">
        <v>26</v>
      </c>
      <c r="F3" s="411" t="s">
        <v>313</v>
      </c>
      <c r="G3" s="411"/>
      <c r="H3" s="411"/>
      <c r="I3" s="411"/>
      <c r="J3" s="411"/>
      <c r="K3" s="411"/>
      <c r="L3" s="411"/>
      <c r="M3" s="411"/>
      <c r="N3" s="411"/>
      <c r="O3" s="411"/>
      <c r="P3" s="411"/>
      <c r="Q3" s="411"/>
      <c r="R3" s="411"/>
      <c r="S3" s="411"/>
      <c r="T3" s="83"/>
      <c r="U3" s="78"/>
      <c r="V3" s="78"/>
      <c r="W3" s="78"/>
      <c r="X3" s="78"/>
      <c r="Y3" s="78"/>
      <c r="Z3" s="78"/>
    </row>
    <row r="4" spans="2:26" ht="6.75" customHeight="1" x14ac:dyDescent="0.3">
      <c r="B4" s="82"/>
      <c r="C4" s="109"/>
      <c r="D4" s="109"/>
      <c r="E4" s="405" t="s">
        <v>488</v>
      </c>
      <c r="F4" s="405"/>
      <c r="G4" s="405"/>
      <c r="H4" s="405"/>
      <c r="I4" s="405"/>
      <c r="J4" s="405"/>
      <c r="K4" s="405"/>
      <c r="L4" s="405"/>
      <c r="M4" s="405"/>
      <c r="N4" s="405"/>
      <c r="O4" s="405"/>
      <c r="P4" s="405"/>
      <c r="Q4" s="405"/>
      <c r="R4" s="405"/>
      <c r="S4" s="405"/>
      <c r="T4" s="83"/>
      <c r="U4" s="78"/>
      <c r="V4" s="78"/>
      <c r="W4" s="78"/>
      <c r="X4" s="78"/>
      <c r="Y4" s="78"/>
      <c r="Z4" s="78"/>
    </row>
    <row r="5" spans="2:26" ht="6.75" customHeight="1" x14ac:dyDescent="0.3">
      <c r="B5" s="82"/>
      <c r="C5" s="109"/>
      <c r="D5" s="109"/>
      <c r="E5" s="405"/>
      <c r="F5" s="405"/>
      <c r="G5" s="405"/>
      <c r="H5" s="405"/>
      <c r="I5" s="405"/>
      <c r="J5" s="405"/>
      <c r="K5" s="405"/>
      <c r="L5" s="405"/>
      <c r="M5" s="405"/>
      <c r="N5" s="405"/>
      <c r="O5" s="405"/>
      <c r="P5" s="405"/>
      <c r="Q5" s="405"/>
      <c r="R5" s="405"/>
      <c r="S5" s="405"/>
      <c r="T5" s="83"/>
      <c r="U5" s="78"/>
      <c r="V5" s="78"/>
      <c r="W5" s="78"/>
      <c r="X5" s="78"/>
      <c r="Y5" s="78"/>
      <c r="Z5" s="78"/>
    </row>
    <row r="6" spans="2:26" ht="24.75" customHeight="1" x14ac:dyDescent="0.3">
      <c r="B6" s="82"/>
      <c r="C6" s="75"/>
      <c r="D6" s="75"/>
      <c r="E6" s="405"/>
      <c r="F6" s="405"/>
      <c r="G6" s="405"/>
      <c r="H6" s="405"/>
      <c r="I6" s="405"/>
      <c r="J6" s="405"/>
      <c r="K6" s="405"/>
      <c r="L6" s="405"/>
      <c r="M6" s="405"/>
      <c r="N6" s="405"/>
      <c r="O6" s="405"/>
      <c r="P6" s="405"/>
      <c r="Q6" s="405"/>
      <c r="R6" s="405"/>
      <c r="S6" s="405"/>
      <c r="T6" s="83"/>
      <c r="U6" s="78"/>
      <c r="V6" s="78"/>
      <c r="W6" s="78"/>
      <c r="X6" s="78"/>
      <c r="Y6" s="78"/>
      <c r="Z6" s="78"/>
    </row>
    <row r="7" spans="2:26" ht="21" customHeight="1" x14ac:dyDescent="0.3">
      <c r="B7" s="82"/>
      <c r="C7" s="75"/>
      <c r="D7" s="107"/>
      <c r="E7" s="110"/>
      <c r="F7" s="110"/>
      <c r="G7" s="110"/>
      <c r="H7" s="110"/>
      <c r="I7" s="110"/>
      <c r="J7" s="110"/>
      <c r="K7" s="110"/>
      <c r="L7" s="110"/>
      <c r="M7" s="110"/>
      <c r="N7" s="110"/>
      <c r="O7" s="110"/>
      <c r="P7" s="110"/>
      <c r="Q7" s="110"/>
      <c r="R7" s="110"/>
      <c r="S7" s="110"/>
      <c r="T7" s="83"/>
      <c r="U7" s="78"/>
      <c r="V7" s="78"/>
      <c r="W7" s="78"/>
      <c r="X7" s="78"/>
      <c r="Y7" s="78"/>
      <c r="Z7" s="78"/>
    </row>
    <row r="8" spans="2:26" ht="37.5" customHeight="1" x14ac:dyDescent="0.35">
      <c r="B8" s="82"/>
      <c r="C8" s="111"/>
      <c r="D8" s="111"/>
      <c r="E8" s="85" t="s">
        <v>142</v>
      </c>
      <c r="F8" s="401" t="s">
        <v>315</v>
      </c>
      <c r="G8" s="401"/>
      <c r="H8" s="401"/>
      <c r="I8" s="401"/>
      <c r="J8" s="401"/>
      <c r="K8" s="295"/>
      <c r="L8" s="303" t="s">
        <v>144</v>
      </c>
      <c r="M8" s="303"/>
      <c r="N8" s="5"/>
      <c r="O8" s="303"/>
      <c r="P8" s="303"/>
      <c r="Q8" s="303"/>
      <c r="R8" s="303"/>
      <c r="S8" s="37"/>
      <c r="T8" s="83"/>
      <c r="U8" s="78"/>
      <c r="V8" s="78"/>
      <c r="W8" s="78"/>
      <c r="X8" s="78"/>
      <c r="Y8" s="78"/>
      <c r="Z8" s="78"/>
    </row>
    <row r="9" spans="2:26" ht="4.5" customHeight="1" x14ac:dyDescent="0.3">
      <c r="B9" s="82"/>
      <c r="C9" s="75"/>
      <c r="D9" s="75"/>
      <c r="E9" s="37"/>
      <c r="F9" s="37"/>
      <c r="G9" s="37"/>
      <c r="H9" s="37"/>
      <c r="I9" s="37"/>
      <c r="J9" s="37"/>
      <c r="K9" s="37"/>
      <c r="L9" s="37"/>
      <c r="M9" s="37"/>
      <c r="N9" s="5"/>
      <c r="O9" s="37"/>
      <c r="P9" s="37"/>
      <c r="Q9" s="37"/>
      <c r="R9" s="37"/>
      <c r="S9" s="37"/>
      <c r="T9" s="83"/>
      <c r="U9" s="78"/>
      <c r="V9" s="78"/>
      <c r="W9" s="78"/>
      <c r="X9" s="78"/>
      <c r="Y9" s="78"/>
      <c r="Z9" s="78"/>
    </row>
    <row r="10" spans="2:26" ht="31" customHeight="1" x14ac:dyDescent="0.3">
      <c r="B10" s="82"/>
      <c r="C10" s="75"/>
      <c r="D10" s="75"/>
      <c r="E10" s="37"/>
      <c r="F10" s="38" t="s">
        <v>316</v>
      </c>
      <c r="G10" s="37"/>
      <c r="H10" s="37"/>
      <c r="I10" s="37"/>
      <c r="J10" s="37"/>
      <c r="K10" s="37"/>
      <c r="L10" s="100">
        <f>IF('Stage 4'!M37&gt;0, 'Stage 4'!M37,0)</f>
        <v>0</v>
      </c>
      <c r="M10" s="115"/>
      <c r="N10" s="5"/>
      <c r="O10" s="90"/>
      <c r="P10" s="90"/>
      <c r="Q10" s="90"/>
      <c r="R10" s="90"/>
      <c r="S10" s="37"/>
      <c r="T10" s="83"/>
      <c r="U10" s="78"/>
      <c r="V10" s="78"/>
      <c r="W10" s="78"/>
      <c r="X10" s="78"/>
      <c r="Y10" s="78"/>
      <c r="Z10" s="78"/>
    </row>
    <row r="11" spans="2:26" ht="17.5" customHeight="1" thickBot="1" x14ac:dyDescent="0.35">
      <c r="B11" s="82"/>
      <c r="C11" s="75"/>
      <c r="D11" s="75"/>
      <c r="E11" s="37"/>
      <c r="F11" s="37"/>
      <c r="G11" s="37"/>
      <c r="H11" s="37"/>
      <c r="I11" s="37"/>
      <c r="J11" s="37"/>
      <c r="K11" s="37"/>
      <c r="L11" s="37"/>
      <c r="M11" s="37"/>
      <c r="N11" s="37"/>
      <c r="O11" s="37"/>
      <c r="P11" s="37"/>
      <c r="Q11" s="37"/>
      <c r="R11" s="97"/>
      <c r="S11" s="97"/>
      <c r="T11" s="83"/>
      <c r="U11" s="146"/>
      <c r="V11" s="91"/>
      <c r="W11" s="91"/>
      <c r="X11" s="91"/>
      <c r="Y11" s="91"/>
      <c r="Z11" s="91"/>
    </row>
    <row r="12" spans="2:26" ht="7" customHeight="1" x14ac:dyDescent="0.3">
      <c r="B12" s="82"/>
      <c r="C12" s="75"/>
      <c r="D12" s="107"/>
      <c r="E12" s="101"/>
      <c r="F12" s="101"/>
      <c r="G12" s="101"/>
      <c r="H12" s="101"/>
      <c r="I12" s="101"/>
      <c r="J12" s="101"/>
      <c r="K12" s="101"/>
      <c r="L12" s="101"/>
      <c r="M12" s="101"/>
      <c r="N12" s="101"/>
      <c r="O12" s="101"/>
      <c r="P12" s="101"/>
      <c r="Q12" s="101"/>
      <c r="R12" s="37"/>
      <c r="S12" s="37"/>
      <c r="T12" s="75"/>
      <c r="U12" s="75"/>
      <c r="V12" s="75"/>
      <c r="W12" s="75"/>
      <c r="X12" s="75"/>
      <c r="Y12" s="75"/>
      <c r="Z12" s="133"/>
    </row>
    <row r="13" spans="2:26" ht="16" customHeight="1" x14ac:dyDescent="0.3">
      <c r="B13" s="82"/>
      <c r="C13" s="75"/>
      <c r="D13" s="75"/>
      <c r="E13" s="85" t="s">
        <v>158</v>
      </c>
      <c r="F13" s="401" t="s">
        <v>317</v>
      </c>
      <c r="G13" s="401"/>
      <c r="H13" s="401"/>
      <c r="I13" s="401"/>
      <c r="J13" s="401"/>
      <c r="K13" s="295"/>
      <c r="L13" s="37"/>
      <c r="M13" s="37"/>
      <c r="N13" s="37"/>
      <c r="O13" s="37"/>
      <c r="P13" s="37"/>
      <c r="Q13" s="37"/>
      <c r="R13" s="37"/>
      <c r="S13" s="37"/>
      <c r="T13" s="37"/>
      <c r="U13" s="37"/>
      <c r="V13" s="37"/>
      <c r="W13" s="37"/>
      <c r="X13" s="37"/>
      <c r="Y13" s="37"/>
      <c r="Z13" s="134"/>
    </row>
    <row r="14" spans="2:26" ht="10.5" customHeight="1" x14ac:dyDescent="0.3">
      <c r="B14" s="82"/>
      <c r="C14" s="75"/>
      <c r="D14" s="75"/>
      <c r="E14" s="37"/>
      <c r="F14" s="37"/>
      <c r="G14" s="37"/>
      <c r="H14" s="37"/>
      <c r="I14" s="37"/>
      <c r="J14" s="37"/>
      <c r="K14" s="37"/>
      <c r="L14" s="37"/>
      <c r="M14" s="37"/>
      <c r="N14" s="37"/>
      <c r="O14" s="37"/>
      <c r="P14" s="96"/>
      <c r="Q14" s="37"/>
      <c r="R14" s="37"/>
      <c r="S14" s="37"/>
      <c r="T14" s="37"/>
      <c r="U14" s="37"/>
      <c r="V14" s="37"/>
      <c r="W14" s="37"/>
      <c r="X14" s="98"/>
      <c r="Y14" s="37"/>
      <c r="Z14" s="134"/>
    </row>
    <row r="15" spans="2:26" ht="14.5" customHeight="1" x14ac:dyDescent="0.3">
      <c r="B15" s="82"/>
      <c r="C15" s="75"/>
      <c r="D15" s="75"/>
      <c r="E15" s="135" t="s">
        <v>318</v>
      </c>
      <c r="F15" s="99" t="s">
        <v>319</v>
      </c>
      <c r="G15" s="37"/>
      <c r="H15" s="37"/>
      <c r="I15" s="37"/>
      <c r="J15" s="37"/>
      <c r="K15" s="37"/>
      <c r="L15" s="438" t="s">
        <v>206</v>
      </c>
      <c r="M15" s="438"/>
      <c r="N15" s="98"/>
      <c r="O15" s="37"/>
      <c r="P15" s="96"/>
      <c r="Q15" s="37"/>
      <c r="R15" s="136"/>
      <c r="S15" s="401" t="s">
        <v>320</v>
      </c>
      <c r="T15" s="401"/>
      <c r="U15" s="401"/>
      <c r="V15" s="401"/>
      <c r="W15" s="401"/>
      <c r="X15" s="306" t="s">
        <v>206</v>
      </c>
      <c r="Y15" s="37"/>
      <c r="Z15" s="134"/>
    </row>
    <row r="16" spans="2:26" ht="14.5" customHeight="1" x14ac:dyDescent="0.3">
      <c r="B16" s="82"/>
      <c r="C16" s="75"/>
      <c r="D16" s="75"/>
      <c r="E16" s="37"/>
      <c r="F16" s="37"/>
      <c r="G16" s="37"/>
      <c r="H16" s="37"/>
      <c r="I16" s="37"/>
      <c r="J16" s="37"/>
      <c r="K16" s="37"/>
      <c r="L16" s="37"/>
      <c r="M16" s="37"/>
      <c r="N16" s="37"/>
      <c r="O16" s="37"/>
      <c r="P16" s="96"/>
      <c r="Q16" s="37"/>
      <c r="R16" s="37"/>
      <c r="S16" s="37"/>
      <c r="T16" s="37"/>
      <c r="U16" s="37"/>
      <c r="V16" s="37"/>
      <c r="W16" s="37"/>
      <c r="X16" s="37"/>
      <c r="Y16" s="37"/>
      <c r="Z16" s="134"/>
    </row>
    <row r="17" spans="2:50" ht="45" customHeight="1" x14ac:dyDescent="0.3">
      <c r="B17" s="82"/>
      <c r="C17" s="75"/>
      <c r="D17" s="75"/>
      <c r="E17" s="436" t="s">
        <v>321</v>
      </c>
      <c r="F17" s="436"/>
      <c r="G17" s="436"/>
      <c r="H17" s="436"/>
      <c r="I17" s="436"/>
      <c r="J17" s="436"/>
      <c r="K17" s="436"/>
      <c r="L17" s="436"/>
      <c r="M17" s="436"/>
      <c r="N17" s="436"/>
      <c r="O17" s="436"/>
      <c r="P17" s="96"/>
      <c r="Q17" s="37"/>
      <c r="R17" s="37"/>
      <c r="S17" s="436" t="s">
        <v>322</v>
      </c>
      <c r="T17" s="436"/>
      <c r="U17" s="436"/>
      <c r="V17" s="436"/>
      <c r="W17" s="436"/>
      <c r="X17" s="436"/>
      <c r="Y17" s="304"/>
      <c r="Z17" s="134"/>
      <c r="AB17" s="13"/>
    </row>
    <row r="18" spans="2:50" ht="16" customHeight="1" x14ac:dyDescent="0.3">
      <c r="B18" s="82"/>
      <c r="C18" s="75"/>
      <c r="D18" s="75"/>
      <c r="E18" s="98"/>
      <c r="F18" s="401" t="s">
        <v>323</v>
      </c>
      <c r="G18" s="401"/>
      <c r="H18" s="401"/>
      <c r="I18" s="401"/>
      <c r="J18" s="401"/>
      <c r="K18" s="295"/>
      <c r="L18" s="303" t="s">
        <v>144</v>
      </c>
      <c r="M18" s="303"/>
      <c r="N18" s="98"/>
      <c r="O18" s="303" t="s">
        <v>145</v>
      </c>
      <c r="P18" s="96"/>
      <c r="Q18" s="37"/>
      <c r="R18" s="37"/>
      <c r="S18" s="401" t="s">
        <v>324</v>
      </c>
      <c r="T18" s="401"/>
      <c r="U18" s="401"/>
      <c r="V18" s="401"/>
      <c r="W18" s="401"/>
      <c r="X18" s="401"/>
      <c r="Y18" s="295"/>
      <c r="Z18" s="134"/>
    </row>
    <row r="19" spans="2:50" ht="13.5" customHeight="1" x14ac:dyDescent="0.3">
      <c r="B19" s="82"/>
      <c r="C19" s="75"/>
      <c r="D19" s="75"/>
      <c r="E19" s="37"/>
      <c r="F19" s="37"/>
      <c r="G19" s="37"/>
      <c r="H19" s="37"/>
      <c r="I19" s="37"/>
      <c r="J19" s="37"/>
      <c r="K19" s="37"/>
      <c r="L19" s="303"/>
      <c r="M19" s="303"/>
      <c r="N19" s="37"/>
      <c r="O19" s="37"/>
      <c r="P19" s="96"/>
      <c r="Q19" s="37"/>
      <c r="R19" s="37"/>
      <c r="S19" s="210"/>
      <c r="T19" s="210"/>
      <c r="U19" s="210"/>
      <c r="V19" s="210"/>
      <c r="W19" s="210"/>
      <c r="X19" s="210"/>
      <c r="Y19" s="37"/>
      <c r="Z19" s="134"/>
    </row>
    <row r="20" spans="2:50" ht="42.75" customHeight="1" x14ac:dyDescent="0.3">
      <c r="B20" s="82"/>
      <c r="C20" s="75"/>
      <c r="D20" s="75"/>
      <c r="E20" s="37"/>
      <c r="F20" s="402" t="s">
        <v>325</v>
      </c>
      <c r="G20" s="402"/>
      <c r="H20" s="402"/>
      <c r="I20" s="402"/>
      <c r="J20" s="402"/>
      <c r="K20" s="298"/>
      <c r="L20" s="100" t="e">
        <f>'Stage 2'!K42/'Stage 2'!K37</f>
        <v>#DIV/0!</v>
      </c>
      <c r="M20" s="115"/>
      <c r="N20" s="306" t="s">
        <v>206</v>
      </c>
      <c r="O20" s="90" t="s">
        <v>232</v>
      </c>
      <c r="P20" s="96"/>
      <c r="Q20" s="37"/>
      <c r="R20" s="85"/>
      <c r="S20" s="400" t="s">
        <v>201</v>
      </c>
      <c r="T20" s="400"/>
      <c r="U20" s="400"/>
      <c r="V20" s="400"/>
      <c r="W20" s="400"/>
      <c r="X20" s="160" t="s">
        <v>94</v>
      </c>
      <c r="Y20" s="295"/>
      <c r="Z20" s="134"/>
      <c r="AB20" s="13"/>
      <c r="AC20" s="13"/>
    </row>
    <row r="21" spans="2:50" ht="19.5" customHeight="1" x14ac:dyDescent="0.3">
      <c r="B21" s="82"/>
      <c r="C21" s="75"/>
      <c r="D21" s="75"/>
      <c r="E21" s="37"/>
      <c r="F21" s="298"/>
      <c r="G21" s="298"/>
      <c r="H21" s="298"/>
      <c r="I21" s="298"/>
      <c r="J21" s="298"/>
      <c r="K21" s="298"/>
      <c r="L21" s="115"/>
      <c r="M21" s="115"/>
      <c r="N21" s="172"/>
      <c r="O21" s="90"/>
      <c r="P21" s="96"/>
      <c r="Q21" s="37"/>
      <c r="R21" s="85"/>
      <c r="S21" s="400" t="s">
        <v>202</v>
      </c>
      <c r="T21" s="400"/>
      <c r="U21" s="400"/>
      <c r="V21" s="400"/>
      <c r="W21" s="400"/>
      <c r="X21" s="306" t="s">
        <v>287</v>
      </c>
      <c r="Y21" s="295"/>
      <c r="Z21" s="134"/>
      <c r="AA21" s="269"/>
      <c r="AB21" s="13"/>
      <c r="AC21" s="13"/>
    </row>
    <row r="22" spans="2:50" ht="21.75" customHeight="1" x14ac:dyDescent="0.3">
      <c r="B22" s="82"/>
      <c r="C22" s="75"/>
      <c r="D22" s="75"/>
      <c r="E22" s="37"/>
      <c r="F22" s="298"/>
      <c r="G22" s="298"/>
      <c r="H22" s="298"/>
      <c r="I22" s="298"/>
      <c r="J22" s="298"/>
      <c r="K22" s="298"/>
      <c r="M22" s="115"/>
      <c r="N22" s="172"/>
      <c r="O22" s="90"/>
      <c r="P22" s="96"/>
      <c r="Q22" s="37"/>
      <c r="R22" s="85"/>
      <c r="S22" s="400" t="s">
        <v>205</v>
      </c>
      <c r="T22" s="400"/>
      <c r="U22" s="400"/>
      <c r="V22" s="400"/>
      <c r="W22" s="400"/>
      <c r="X22" s="306" t="s">
        <v>166</v>
      </c>
      <c r="Y22" s="295"/>
      <c r="Z22" s="134"/>
      <c r="AA22" s="269"/>
      <c r="AB22" s="13"/>
      <c r="AC22" s="13"/>
    </row>
    <row r="23" spans="2:50" ht="14.5" customHeight="1" x14ac:dyDescent="0.3">
      <c r="B23" s="82"/>
      <c r="C23" s="75"/>
      <c r="D23" s="75"/>
      <c r="E23" s="37"/>
      <c r="F23" s="38"/>
      <c r="G23" s="37"/>
      <c r="H23" s="37"/>
      <c r="I23" s="37"/>
      <c r="J23" s="37"/>
      <c r="K23" s="37"/>
      <c r="L23" s="115"/>
      <c r="M23" s="115"/>
      <c r="N23" s="303"/>
      <c r="O23" s="90"/>
      <c r="P23" s="96"/>
      <c r="Q23" s="37"/>
      <c r="R23" s="439"/>
      <c r="S23" s="439"/>
      <c r="T23" s="439"/>
      <c r="U23" s="439"/>
      <c r="V23" s="439"/>
      <c r="W23" s="439"/>
      <c r="X23" s="439"/>
      <c r="Y23" s="439"/>
      <c r="Z23" s="440"/>
      <c r="AA23" s="269"/>
    </row>
    <row r="24" spans="2:50" ht="24" customHeight="1" x14ac:dyDescent="0.3">
      <c r="B24" s="82"/>
      <c r="C24" s="75"/>
      <c r="D24" s="75"/>
      <c r="E24" s="37"/>
      <c r="F24" s="402" t="s">
        <v>326</v>
      </c>
      <c r="G24" s="402"/>
      <c r="H24" s="402"/>
      <c r="I24" s="402"/>
      <c r="J24" s="402"/>
      <c r="K24" s="318"/>
      <c r="L24" s="303"/>
      <c r="M24" s="303"/>
      <c r="N24" s="37"/>
      <c r="O24" s="90"/>
      <c r="P24" s="96"/>
      <c r="Q24" s="37"/>
      <c r="R24" s="37"/>
      <c r="S24" s="402" t="s">
        <v>327</v>
      </c>
      <c r="T24" s="402"/>
      <c r="U24" s="402"/>
      <c r="V24" s="402"/>
      <c r="W24" s="402"/>
      <c r="X24" s="37"/>
      <c r="Y24" s="305" t="s">
        <v>211</v>
      </c>
      <c r="Z24" s="134"/>
      <c r="AM24" s="199"/>
    </row>
    <row r="25" spans="2:50" ht="16" customHeight="1" x14ac:dyDescent="0.3">
      <c r="B25" s="82"/>
      <c r="C25" s="75"/>
      <c r="D25" s="75"/>
      <c r="E25" s="435" t="str">
        <f>'Stage 2'!F18</f>
        <v>High density urban</v>
      </c>
      <c r="F25" s="435"/>
      <c r="G25" s="435"/>
      <c r="H25" s="435"/>
      <c r="I25" s="435"/>
      <c r="J25" s="37"/>
      <c r="K25" s="210"/>
      <c r="L25" s="196" t="str">
        <f>IF('Stage 2'!$K18&gt;0,'Stage 2'!O23/'Stage 2'!$K18,"")</f>
        <v/>
      </c>
      <c r="M25" s="115"/>
      <c r="N25" s="306" t="s">
        <v>206</v>
      </c>
      <c r="O25" s="86" t="s">
        <v>232</v>
      </c>
      <c r="P25" s="96"/>
      <c r="Q25" s="37"/>
      <c r="R25" s="37"/>
      <c r="S25" s="435" t="str">
        <f t="shared" ref="S25:S42" si="0">E25</f>
        <v>High density urban</v>
      </c>
      <c r="T25" s="435"/>
      <c r="U25" s="435"/>
      <c r="V25" s="435"/>
      <c r="W25" s="435"/>
      <c r="X25" s="306" t="s">
        <v>206</v>
      </c>
      <c r="Y25" s="171" t="str">
        <f>IF($X$15="Yes",IF($X$25="Yes",IF($X$21="600-625",'Data Tables'!AE4,IF($X$21="625-650",'Data Tables'!AE5,IF($X$21="650-675",'Data Tables'!AE6,IF($X$21="675-700",'Data Tables'!AE7,IF($X$21="700-750",'Data Tables'!AE8,IF($X$21="750-800",'Data Tables'!AE9,IF($X$21="800-850",'Data Tables'!AE10,'Data Tables'!AE11))))))),0),"")</f>
        <v/>
      </c>
      <c r="Z25" s="134"/>
      <c r="AL25" s="199"/>
      <c r="AN25" s="199"/>
    </row>
    <row r="26" spans="2:50" ht="16" customHeight="1" x14ac:dyDescent="0.3">
      <c r="B26" s="82"/>
      <c r="C26" s="75"/>
      <c r="D26" s="75"/>
      <c r="E26" s="435" t="str">
        <f>'Stage 2'!F19</f>
        <v>Medium density urban</v>
      </c>
      <c r="F26" s="435"/>
      <c r="G26" s="435"/>
      <c r="H26" s="435"/>
      <c r="I26" s="435"/>
      <c r="J26" s="37"/>
      <c r="K26" s="210"/>
      <c r="L26" s="196" t="str">
        <f>IF('Stage 2'!$K19&gt;0,'Stage 2'!O24/'Stage 2'!$K19,"")</f>
        <v/>
      </c>
      <c r="M26" s="115"/>
      <c r="N26" s="306" t="s">
        <v>206</v>
      </c>
      <c r="O26" s="86" t="s">
        <v>232</v>
      </c>
      <c r="P26" s="96"/>
      <c r="Q26" s="37"/>
      <c r="R26" s="37"/>
      <c r="S26" s="435" t="str">
        <f t="shared" si="0"/>
        <v>Medium density urban</v>
      </c>
      <c r="T26" s="435"/>
      <c r="U26" s="435"/>
      <c r="V26" s="435"/>
      <c r="W26" s="435"/>
      <c r="X26" s="306" t="s">
        <v>206</v>
      </c>
      <c r="Y26" s="171" t="str">
        <f>IF($X$15="Yes",IF($X$26="Yes",IF($X$21="600-625",'Data Tables'!AF4,IF($X$21="625-650",'Data Tables'!AF5,IF($X$21="650-675",'Data Tables'!AF6,IF($X$21="675-700",'Data Tables'!AF7,IF($X$21="700-750",'Data Tables'!AF8,IF($X$21="750-800",'Data Tables'!AF9,IF($X$21="800-850",'Data Tables'!AF10,'Data Tables'!AF11))))))),0),"")</f>
        <v/>
      </c>
      <c r="Z26" s="134"/>
    </row>
    <row r="27" spans="2:50" ht="16" customHeight="1" x14ac:dyDescent="0.3">
      <c r="B27" s="82"/>
      <c r="C27" s="75"/>
      <c r="D27" s="75"/>
      <c r="E27" s="435" t="str">
        <f>'Stage 2'!F20</f>
        <v>Low density urban</v>
      </c>
      <c r="F27" s="435"/>
      <c r="G27" s="435"/>
      <c r="H27" s="435"/>
      <c r="I27" s="435"/>
      <c r="J27" s="37"/>
      <c r="K27" s="210"/>
      <c r="L27" s="196" t="str">
        <f>IF('Stage 2'!$K20&gt;0,'Stage 2'!O25/'Stage 2'!$K20,"")</f>
        <v/>
      </c>
      <c r="M27" s="115"/>
      <c r="N27" s="306" t="s">
        <v>206</v>
      </c>
      <c r="O27" s="86" t="s">
        <v>232</v>
      </c>
      <c r="P27" s="96"/>
      <c r="Q27" s="37"/>
      <c r="R27" s="37"/>
      <c r="S27" s="435" t="str">
        <f t="shared" si="0"/>
        <v>Low density urban</v>
      </c>
      <c r="T27" s="435"/>
      <c r="U27" s="435"/>
      <c r="V27" s="435"/>
      <c r="W27" s="435"/>
      <c r="X27" s="306" t="s">
        <v>206</v>
      </c>
      <c r="Y27" s="171" t="str">
        <f>IF($X$15="Yes",IF($X$27="Yes",IF($X$21="600-625",'Data Tables'!AG4,IF($X$21="625-650",'Data Tables'!AG5,IF($X$21="650-675",'Data Tables'!AG6,IF($X$21="675-700",'Data Tables'!AG7,IF($X$21="700-750",'Data Tables'!AG8,IF($X$21="750-800",'Data Tables'!AG9,IF($X$21="800-850",'Data Tables'!AG10,'Data Tables'!AG11))))))),0),"")</f>
        <v/>
      </c>
      <c r="Z27" s="134"/>
    </row>
    <row r="28" spans="2:50" ht="16" customHeight="1" x14ac:dyDescent="0.3">
      <c r="B28" s="82"/>
      <c r="C28" s="75"/>
      <c r="D28" s="75"/>
      <c r="E28" s="435" t="str">
        <f>'Stage 2'!F21</f>
        <v>Commercial / Industrial</v>
      </c>
      <c r="F28" s="435"/>
      <c r="G28" s="435"/>
      <c r="H28" s="435"/>
      <c r="I28" s="435"/>
      <c r="J28" s="37"/>
      <c r="K28" s="210"/>
      <c r="L28" s="196" t="str">
        <f>IF('Stage 2'!$K21&gt;0,'Stage 2'!O26/'Stage 2'!$K21,"")</f>
        <v/>
      </c>
      <c r="M28" s="115"/>
      <c r="N28" s="306" t="s">
        <v>206</v>
      </c>
      <c r="O28" s="86" t="s">
        <v>232</v>
      </c>
      <c r="P28" s="96"/>
      <c r="Q28" s="37"/>
      <c r="R28" s="37"/>
      <c r="S28" s="435" t="str">
        <f t="shared" si="0"/>
        <v>Commercial / Industrial</v>
      </c>
      <c r="T28" s="435"/>
      <c r="U28" s="435"/>
      <c r="V28" s="435"/>
      <c r="W28" s="435"/>
      <c r="X28" s="306" t="s">
        <v>206</v>
      </c>
      <c r="Y28" s="171" t="str">
        <f>IF($X$15="Yes",IF($X$28="Yes",IF($X$21="600-625",'Data Tables'!AH4,IF($X$21="625-650",'Data Tables'!AH5,IF($X$21="650-675",'Data Tables'!AH6,IF($X$21="675-700",'Data Tables'!AH7,IF($X$21="700-750",'Data Tables'!AH8,IF($X$21="750-800",'Data Tables'!AH9,IF($X$21="800-850",'Data Tables'!AH10,'Data Tables'!AH11))))))),0),"")</f>
        <v/>
      </c>
      <c r="Z28" s="134"/>
    </row>
    <row r="29" spans="2:50" ht="16" customHeight="1" x14ac:dyDescent="0.3">
      <c r="B29" s="82"/>
      <c r="C29" s="75"/>
      <c r="D29" s="75"/>
      <c r="E29" s="435" t="str">
        <f>'Stage 2'!F22</f>
        <v>Urban open space</v>
      </c>
      <c r="F29" s="435"/>
      <c r="G29" s="435"/>
      <c r="H29" s="435"/>
      <c r="I29" s="435"/>
      <c r="J29" s="37"/>
      <c r="K29" s="210"/>
      <c r="L29" s="196" t="str">
        <f>IF('Stage 2'!$K22&gt;0,'Stage 2'!O27/'Stage 2'!$K22,"")</f>
        <v/>
      </c>
      <c r="M29" s="115"/>
      <c r="N29" s="306" t="s">
        <v>206</v>
      </c>
      <c r="O29" s="86" t="s">
        <v>232</v>
      </c>
      <c r="P29" s="96"/>
      <c r="Q29" s="37"/>
      <c r="R29" s="37"/>
      <c r="S29" s="435" t="str">
        <f t="shared" si="0"/>
        <v>Urban open space</v>
      </c>
      <c r="T29" s="435"/>
      <c r="U29" s="435"/>
      <c r="V29" s="435"/>
      <c r="W29" s="435"/>
      <c r="X29" s="306" t="s">
        <v>206</v>
      </c>
      <c r="Y29" s="171" t="str">
        <f>IF($X$15="Yes",IF($X$29="Yes",IF($X$21="600-625",'Data Tables'!AI4,IF($X$21="625-650",'Data Tables'!AI5,IF($X$21="650-675",'Data Tables'!AI6,IF($X$21="675-700",'Data Tables'!AI7,IF($X$21="700-750",'Data Tables'!AI8,IF($X$21="750-800",'Data Tables'!AI9,IF($X$21="800-850",'Data Tables'!AI10,'Data Tables'!AI11))))))),0),"")</f>
        <v/>
      </c>
      <c r="Z29" s="134"/>
    </row>
    <row r="30" spans="2:50" ht="16" customHeight="1" x14ac:dyDescent="0.3">
      <c r="B30" s="82"/>
      <c r="C30" s="75"/>
      <c r="D30" s="75"/>
      <c r="E30" s="435" t="str">
        <f>'Stage 2'!F23</f>
        <v>Dairy</v>
      </c>
      <c r="F30" s="435"/>
      <c r="G30" s="435"/>
      <c r="H30" s="435"/>
      <c r="I30" s="435"/>
      <c r="J30" s="37"/>
      <c r="K30" s="210"/>
      <c r="L30" s="196" t="str">
        <f>IF('Stage 2'!$K23&gt;0,'Stage 2'!O23/'Stage 2'!$K23,"")</f>
        <v/>
      </c>
      <c r="M30" s="305"/>
      <c r="N30" s="306" t="s">
        <v>206</v>
      </c>
      <c r="O30" s="86" t="s">
        <v>232</v>
      </c>
      <c r="P30" s="96"/>
      <c r="Q30" s="37"/>
      <c r="R30" s="37"/>
      <c r="S30" s="435" t="str">
        <f t="shared" si="0"/>
        <v>Dairy</v>
      </c>
      <c r="T30" s="435"/>
      <c r="U30" s="435"/>
      <c r="V30" s="435"/>
      <c r="W30" s="435"/>
      <c r="X30" s="306" t="s">
        <v>206</v>
      </c>
      <c r="Y30" s="171" t="str">
        <f>IF($X$15="Yes",IF($X30="Yes",(IF($X$20="Freely draining",IF($X$21="600-625",IF($X$22="Yes",'Data Tables'!O5,'Data Tables'!P5),IF($X$21="625-650",IF($X$22="Yes",'Data Tables'!O5,'Data Tables'!P5),IF($X$21="650-675",IF($X$22="Yes",'Data Tables'!O5,'Data Tables'!P5),IF($X$21="675-700",IF($X$22="Yes",'Data Tables'!O5,'Data Tables'!P5),IF($X$21="700-750",IF($X$22="Yes",'Data Tables'!U5,'Data Tables'!V5),IF($X$21="750-800",IF($X$22="Yes",'Data Tables'!U5,'Data Tables'!V5),IF($X$21="800-850",IF($X$22="Yes",'Data Tables'!U5,'Data Tables'!V5),IF($X$22="Yes",'Data Tables'!U5,'Data Tables'!V5)))))))),IF($X$20="Impermeable - drained for arable",IF($X$21="600-625",IF($X$22="Yes",'Data Tables'!Q5,'Data Tables'!R5),IF($X$21="625-650",IF($X$22="Yes",'Data Tables'!Q5,'Data Tables'!R5),IF($X$21="650-675",IF($X$22="Yes",'Data Tables'!Q5,'Data Tables'!R5),IF($X$21="675-700",IF($X$22="Yes",'Data Tables'!Q5,'Data Tables'!R5),IF($X$21="700-750",IF($X$22="Yes",'Data Tables'!W5,'Data Tables'!X5),IF($X$21="750-800",IF($X$22="Yes",'Data Tables'!W5,'Data Tables'!X5),IF($X$21="800-850",IF($X$22="Yes",'Data Tables'!W5,'Data Tables'!X5),IF($X$22="Yes",'Data Tables'!W5,'Data Tables'!X5)))))))),IF($X$21="600-625",IF($X$22="Yes",'Data Tables'!S5,'Data Tables'!T5),IF($X$21="625-650",IF($X$22="Yes",'Data Tables'!S5,'Data Tables'!T5),IF($X$21="650-675",IF($X$22="Yes",'Data Tables'!S5,'Data Tables'!T5),IF($X$21="675-700",IF($X$22="Yes",'Data Tables'!T5,'Data Tables'!T5),IF($X$21="700-750",IF($X$22="Yes",'Data Tables'!Y5,'Data Tables'!Z5),IF($X$21="750-800",IF($X$22="Yes",'Data Tables'!Y5,'Data Tables'!Z5),IF($X$21="800-850",IF($X$22="Yes",'Data Tables'!Y5,'Data Tables'!Z5),IF($X$22="Yes",'Data Tables'!Y5,'Data Tables'!Z5))))))))))),0),"")</f>
        <v/>
      </c>
      <c r="Z30" s="134"/>
      <c r="AC30" s="181"/>
      <c r="AD30" s="181"/>
      <c r="AE30" s="181"/>
      <c r="AF30" s="181"/>
      <c r="AG30" s="181"/>
      <c r="AH30" s="181"/>
      <c r="AI30" s="181"/>
      <c r="AJ30" s="181"/>
      <c r="AK30" s="181"/>
      <c r="AL30" s="181"/>
      <c r="AM30" s="181"/>
      <c r="AN30" s="181"/>
      <c r="AO30" s="181"/>
      <c r="AQ30" s="181"/>
      <c r="AR30" s="181"/>
      <c r="AS30" s="181"/>
      <c r="AT30" s="181"/>
      <c r="AU30" s="181"/>
      <c r="AV30" s="181"/>
      <c r="AW30" s="181"/>
      <c r="AX30" s="181"/>
    </row>
    <row r="31" spans="2:50" ht="16" customHeight="1" x14ac:dyDescent="0.3">
      <c r="B31" s="82"/>
      <c r="C31" s="75"/>
      <c r="D31" s="75"/>
      <c r="E31" s="435" t="str">
        <f>'Stage 2'!F24</f>
        <v>Lowland grazing</v>
      </c>
      <c r="F31" s="435"/>
      <c r="G31" s="435"/>
      <c r="H31" s="435"/>
      <c r="I31" s="435"/>
      <c r="J31" s="37"/>
      <c r="K31" s="210"/>
      <c r="L31" s="196" t="str">
        <f>IF('Stage 2'!$K24&gt;0,'Stage 2'!O24/'Stage 2'!$K24,"")</f>
        <v/>
      </c>
      <c r="M31" s="74"/>
      <c r="N31" s="306" t="s">
        <v>206</v>
      </c>
      <c r="O31" s="86" t="s">
        <v>232</v>
      </c>
      <c r="P31" s="96"/>
      <c r="Q31" s="37"/>
      <c r="R31" s="37"/>
      <c r="S31" s="435" t="str">
        <f t="shared" si="0"/>
        <v>Lowland grazing</v>
      </c>
      <c r="T31" s="435"/>
      <c r="U31" s="435"/>
      <c r="V31" s="435"/>
      <c r="W31" s="435"/>
      <c r="X31" s="306" t="s">
        <v>206</v>
      </c>
      <c r="Y31" s="171" t="str">
        <f>IF($X$15="Yes",IF($X31="Yes",(IF($X$20="Freely draining",IF($X$21="600-625",IF($X$22="Yes",'Data Tables'!O6,'Data Tables'!P6),IF($X$21="625-650",IF($X$22="Yes",'Data Tables'!O6,'Data Tables'!P6),IF($X$21="650-675",IF($X$22="Yes",'Data Tables'!O6,'Data Tables'!P6),IF($X$21="675-700",IF($X$22="Yes",'Data Tables'!O6,'Data Tables'!P6),IF($X$21="700-750",IF($X$22="Yes",'Data Tables'!U6,'Data Tables'!V6),IF($X$21="750-800",IF($X$22="Yes",'Data Tables'!U6,'Data Tables'!V6),IF($X$21="800-850",IF($X$22="Yes",'Data Tables'!U6,'Data Tables'!V6),IF($X$22="Yes",'Data Tables'!U6,'Data Tables'!V6)))))))),IF($X$20="Impermeable - drained for arable",IF($X$21="600-625",IF($X$22="Yes",'Data Tables'!Q6,'Data Tables'!R6),IF($X$21="625-650",IF($X$22="Yes",'Data Tables'!Q6,'Data Tables'!R6),IF($X$21="650-675",IF($X$22="Yes",'Data Tables'!Q6,'Data Tables'!R6),IF($X$21="675-700",IF($X$22="Yes",'Data Tables'!Q6,'Data Tables'!R6),IF($X$21="700-750",IF($X$22="Yes",'Data Tables'!W6,'Data Tables'!X6),IF($X$21="750-800",IF($X$22="Yes",'Data Tables'!W6,'Data Tables'!X6),IF($X$21="800-850",IF($X$22="Yes",'Data Tables'!W6,'Data Tables'!X6),IF($X$22="Yes",'Data Tables'!W6,'Data Tables'!X6)))))))),IF($X$21="600-625",IF($X$22="Yes",'Data Tables'!S6,'Data Tables'!T6),IF($X$21="625-650",IF($X$22="Yes",'Data Tables'!S6,'Data Tables'!T6),IF($X$21="650-675",IF($X$22="Yes",'Data Tables'!S6,'Data Tables'!T6),IF($X$21="675-700",IF($X$22="Yes",'Data Tables'!T6,'Data Tables'!T6),IF($X$21="700-750",IF($X$22="Yes",'Data Tables'!Y6,'Data Tables'!Z6),IF($X$21="750-800",IF($X$22="Yes",'Data Tables'!Y6,'Data Tables'!Z6),IF($X$21="800-850",IF($X$22="Yes",'Data Tables'!Y6,'Data Tables'!Z6),IF($X$22="Yes",'Data Tables'!Y6,'Data Tables'!Z6))))))))))),0),"")</f>
        <v/>
      </c>
      <c r="Z31" s="134"/>
      <c r="AC31" s="181"/>
      <c r="AD31" s="181"/>
      <c r="AE31" s="181"/>
      <c r="AF31" s="181"/>
      <c r="AG31" s="181"/>
      <c r="AH31" s="181"/>
      <c r="AI31" s="181"/>
      <c r="AJ31" s="181"/>
      <c r="AK31" s="181"/>
      <c r="AL31" s="181"/>
      <c r="AM31" s="181"/>
      <c r="AN31" s="181"/>
      <c r="AO31" s="181"/>
      <c r="AQ31" s="181"/>
      <c r="AR31" s="181"/>
      <c r="AS31" s="181"/>
      <c r="AT31" s="181"/>
      <c r="AU31" s="181"/>
      <c r="AV31" s="181"/>
      <c r="AW31" s="181"/>
      <c r="AX31" s="181"/>
    </row>
    <row r="32" spans="2:50" ht="16" customHeight="1" x14ac:dyDescent="0.3">
      <c r="B32" s="82"/>
      <c r="C32" s="75"/>
      <c r="D32" s="75"/>
      <c r="E32" s="435" t="str">
        <f>'Stage 2'!F25</f>
        <v>Mixed</v>
      </c>
      <c r="F32" s="435"/>
      <c r="G32" s="435"/>
      <c r="H32" s="435"/>
      <c r="I32" s="435"/>
      <c r="J32" s="37"/>
      <c r="K32" s="210"/>
      <c r="L32" s="196" t="str">
        <f>IF('Stage 2'!$K25&gt;0,'Stage 2'!O25/'Stage 2'!$K25,"")</f>
        <v/>
      </c>
      <c r="M32" s="74"/>
      <c r="N32" s="306" t="s">
        <v>206</v>
      </c>
      <c r="O32" s="86" t="s">
        <v>232</v>
      </c>
      <c r="P32" s="96"/>
      <c r="Q32" s="37"/>
      <c r="R32" s="37"/>
      <c r="S32" s="435" t="str">
        <f t="shared" si="0"/>
        <v>Mixed</v>
      </c>
      <c r="T32" s="435"/>
      <c r="U32" s="435"/>
      <c r="V32" s="435"/>
      <c r="W32" s="435"/>
      <c r="X32" s="306" t="s">
        <v>206</v>
      </c>
      <c r="Y32" s="171" t="str">
        <f>IF($X$15="Yes",IF($X32="Yes",(IF($X$20="Freely draining",IF($X$21="600-625",IF($X$22="Yes",'Data Tables'!O7,'Data Tables'!P7),IF($X$21="625-650",IF($X$22="Yes",'Data Tables'!O7,'Data Tables'!P7),IF($X$21="650-675",IF($X$22="Yes",'Data Tables'!O7,'Data Tables'!P7),IF($X$21="675-700",IF($X$22="Yes",'Data Tables'!O7,'Data Tables'!P7),IF($X$21="700-750",IF($X$22="Yes",'Data Tables'!U7,'Data Tables'!V7),IF($X$21="750-800",IF($X$22="Yes",'Data Tables'!U7,'Data Tables'!V7),IF($X$21="800-850",IF($X$22="Yes",'Data Tables'!U7,'Data Tables'!V7),IF($X$22="Yes",'Data Tables'!U7,'Data Tables'!V7)))))))),IF($X$20="Impermeable - drained for arable",IF($X$21="600-625",IF($X$22="Yes",'Data Tables'!Q7,'Data Tables'!R7),IF($X$21="625-650",IF($X$22="Yes",'Data Tables'!Q7,'Data Tables'!R7),IF($X$21="650-675",IF($X$22="Yes",'Data Tables'!Q7,'Data Tables'!R7),IF($X$21="675-700",IF($X$22="Yes",'Data Tables'!Q7,'Data Tables'!R7),IF($X$21="700-750",IF($X$22="Yes",'Data Tables'!W7,'Data Tables'!X7),IF($X$21="750-800",IF($X$22="Yes",'Data Tables'!W7,'Data Tables'!X7),IF($X$21="800-850",IF($X$22="Yes",'Data Tables'!W7,'Data Tables'!X7),IF($X$22="Yes",'Data Tables'!W7,'Data Tables'!X7)))))))),IF($X$21="600-625",IF($X$22="Yes",'Data Tables'!S7,'Data Tables'!T7),IF($X$21="625-650",IF($X$22="Yes",'Data Tables'!S7,'Data Tables'!T7),IF($X$21="650-675",IF($X$22="Yes",'Data Tables'!S7,'Data Tables'!T7),IF($X$21="675-700",IF($X$22="Yes",'Data Tables'!T7,'Data Tables'!T7),IF($X$21="700-750",IF($X$22="Yes",'Data Tables'!Y7,'Data Tables'!Z7),IF($X$21="750-800",IF($X$22="Yes",'Data Tables'!Y7,'Data Tables'!Z7),IF($X$21="800-850",IF($X$22="Yes",'Data Tables'!Y7,'Data Tables'!Z7),IF($X$22="Yes",'Data Tables'!Y7,'Data Tables'!Z7))))))))))),0),"")</f>
        <v/>
      </c>
      <c r="Z32" s="134"/>
      <c r="AC32" s="181"/>
      <c r="AD32" s="181"/>
      <c r="AE32" s="181"/>
      <c r="AF32" s="181"/>
      <c r="AG32" s="181"/>
      <c r="AH32" s="181"/>
      <c r="AI32" s="181"/>
      <c r="AJ32" s="181"/>
      <c r="AK32" s="181"/>
      <c r="AL32" s="181"/>
      <c r="AM32" s="181"/>
      <c r="AN32" s="181"/>
      <c r="AO32" s="181"/>
      <c r="AQ32" s="181"/>
      <c r="AR32" s="181"/>
      <c r="AS32" s="181"/>
      <c r="AT32" s="181"/>
      <c r="AU32" s="181"/>
      <c r="AV32" s="181"/>
      <c r="AW32" s="181"/>
      <c r="AX32" s="181"/>
    </row>
    <row r="33" spans="2:50" ht="16" customHeight="1" x14ac:dyDescent="0.3">
      <c r="B33" s="82"/>
      <c r="C33" s="75"/>
      <c r="D33" s="75"/>
      <c r="E33" s="435" t="str">
        <f>'Stage 2'!F26</f>
        <v>Poultry</v>
      </c>
      <c r="F33" s="435"/>
      <c r="G33" s="435"/>
      <c r="H33" s="435"/>
      <c r="I33" s="435"/>
      <c r="J33" s="37"/>
      <c r="K33" s="210"/>
      <c r="L33" s="196" t="str">
        <f>IF('Stage 2'!$K26&gt;0,'Stage 2'!O26/'Stage 2'!$K26,"")</f>
        <v/>
      </c>
      <c r="M33" s="74"/>
      <c r="N33" s="306" t="s">
        <v>206</v>
      </c>
      <c r="O33" s="86" t="s">
        <v>232</v>
      </c>
      <c r="P33" s="96"/>
      <c r="Q33" s="37"/>
      <c r="R33" s="37"/>
      <c r="S33" s="435" t="str">
        <f t="shared" si="0"/>
        <v>Poultry</v>
      </c>
      <c r="T33" s="435"/>
      <c r="U33" s="435"/>
      <c r="V33" s="435"/>
      <c r="W33" s="435"/>
      <c r="X33" s="306" t="s">
        <v>206</v>
      </c>
      <c r="Y33" s="171" t="str">
        <f>IF($X$15="Yes",IF($X33="Yes",(IF($X$20="Freely draining",IF($X$21="600-625",IF($X$22="Yes",'Data Tables'!O8,'Data Tables'!P8),IF($X$21="625-650",IF($X$22="Yes",'Data Tables'!O8,'Data Tables'!P8),IF($X$21="650-675",IF($X$22="Yes",'Data Tables'!O8,'Data Tables'!P8),IF($X$21="675-700",IF($X$22="Yes",'Data Tables'!O8,'Data Tables'!P8),IF($X$21="700-750",IF($X$22="Yes",'Data Tables'!U8,'Data Tables'!V8),IF($X$21="750-800",IF($X$22="Yes",'Data Tables'!U8,'Data Tables'!V8),IF($X$21="800-850",IF($X$22="Yes",'Data Tables'!U8,'Data Tables'!V8),IF($X$22="Yes",'Data Tables'!U8,'Data Tables'!V8)))))))),IF($X$20="Impermeable - drained for arable",IF($X$21="600-625",IF($X$22="Yes",'Data Tables'!Q8,'Data Tables'!R8),IF($X$21="625-650",IF($X$22="Yes",'Data Tables'!Q8,'Data Tables'!R8),IF($X$21="650-675",IF($X$22="Yes",'Data Tables'!Q8,'Data Tables'!R8),IF($X$21="675-700",IF($X$22="Yes",'Data Tables'!Q8,'Data Tables'!R8),IF($X$21="700-750",IF($X$22="Yes",'Data Tables'!W8,'Data Tables'!X8),IF($X$21="750-800",IF($X$22="Yes",'Data Tables'!W8,'Data Tables'!X8),IF($X$21="800-850",IF($X$22="Yes",'Data Tables'!W8,'Data Tables'!X8),IF($X$22="Yes",'Data Tables'!W8,'Data Tables'!X8)))))))),IF($X$21="600-625",IF($X$22="Yes",'Data Tables'!S8,'Data Tables'!T8),IF($X$21="625-650",IF($X$22="Yes",'Data Tables'!S8,'Data Tables'!T8),IF($X$21="650-675",IF($X$22="Yes",'Data Tables'!S8,'Data Tables'!T8),IF($X$21="675-700",IF($X$22="Yes",'Data Tables'!T8,'Data Tables'!T8),IF($X$21="700-750",IF($X$22="Yes",'Data Tables'!Y8,'Data Tables'!Z8),IF($X$21="750-800",IF($X$22="Yes",'Data Tables'!Y8,'Data Tables'!Z8),IF($X$21="800-850",IF($X$22="Yes",'Data Tables'!Y8,'Data Tables'!Z8),IF($X$22="Yes",'Data Tables'!Y8,'Data Tables'!Z8))))))))))),0),"")</f>
        <v/>
      </c>
      <c r="Z33" s="134"/>
      <c r="AC33" s="181"/>
      <c r="AD33" s="181"/>
      <c r="AE33" s="181"/>
      <c r="AF33" s="181"/>
      <c r="AG33" s="181"/>
      <c r="AH33" s="181"/>
      <c r="AI33" s="181"/>
      <c r="AJ33" s="181"/>
      <c r="AK33" s="181"/>
      <c r="AL33" s="181"/>
      <c r="AM33" s="181"/>
      <c r="AN33" s="181"/>
      <c r="AO33" s="181"/>
      <c r="AQ33" s="181"/>
      <c r="AR33" s="181"/>
      <c r="AS33" s="181"/>
      <c r="AT33" s="181"/>
      <c r="AU33" s="181"/>
      <c r="AV33" s="181"/>
      <c r="AW33" s="181"/>
      <c r="AX33" s="181"/>
    </row>
    <row r="34" spans="2:50" ht="16" customHeight="1" x14ac:dyDescent="0.3">
      <c r="B34" s="82"/>
      <c r="C34" s="75"/>
      <c r="D34" s="75"/>
      <c r="E34" s="435" t="str">
        <f>'Stage 2'!F27</f>
        <v>Pigs</v>
      </c>
      <c r="F34" s="435"/>
      <c r="G34" s="435"/>
      <c r="H34" s="435"/>
      <c r="I34" s="435"/>
      <c r="J34" s="37"/>
      <c r="K34" s="210"/>
      <c r="L34" s="196" t="str">
        <f>IF('Stage 2'!$K27&gt;0,'Stage 2'!O27/'Stage 2'!$K27,"")</f>
        <v/>
      </c>
      <c r="M34" s="74"/>
      <c r="N34" s="306" t="s">
        <v>206</v>
      </c>
      <c r="O34" s="86" t="s">
        <v>232</v>
      </c>
      <c r="P34" s="96"/>
      <c r="Q34" s="37"/>
      <c r="R34" s="37"/>
      <c r="S34" s="435" t="str">
        <f t="shared" si="0"/>
        <v>Pigs</v>
      </c>
      <c r="T34" s="435"/>
      <c r="U34" s="435"/>
      <c r="V34" s="435"/>
      <c r="W34" s="435"/>
      <c r="X34" s="306" t="s">
        <v>206</v>
      </c>
      <c r="Y34" s="171" t="str">
        <f>IF($X$15="Yes",IF($X34="Yes",(IF($X$20="Freely draining",IF($X$21="600-625",IF($X$22="Yes",'Data Tables'!O9,'Data Tables'!P9),IF($X$21="625-650",IF($X$22="Yes",'Data Tables'!O9,'Data Tables'!P9),IF($X$21="650-675",IF($X$22="Yes",'Data Tables'!O9,'Data Tables'!P9),IF($X$21="675-700",IF($X$22="Yes",'Data Tables'!O9,'Data Tables'!P9),IF($X$21="700-750",IF($X$22="Yes",'Data Tables'!U9,'Data Tables'!V9),IF($X$21="750-800",IF($X$22="Yes",'Data Tables'!U9,'Data Tables'!V9),IF($X$21="800-850",IF($X$22="Yes",'Data Tables'!U9,'Data Tables'!V9),IF($X$22="Yes",'Data Tables'!U9,'Data Tables'!V9)))))))),IF($X$20="Impermeable - drained for arable",IF($X$21="600-625",IF($X$22="Yes",'Data Tables'!Q9,'Data Tables'!R9),IF($X$21="625-650",IF($X$22="Yes",'Data Tables'!Q9,'Data Tables'!R9),IF($X$21="650-675",IF($X$22="Yes",'Data Tables'!Q9,'Data Tables'!R9),IF($X$21="675-700",IF($X$22="Yes",'Data Tables'!Q9,'Data Tables'!R9),IF($X$21="700-750",IF($X$22="Yes",'Data Tables'!W9,'Data Tables'!X9),IF($X$21="750-800",IF($X$22="Yes",'Data Tables'!W9,'Data Tables'!X9),IF($X$21="800-850",IF($X$22="Yes",'Data Tables'!W9,'Data Tables'!X9),IF($X$22="Yes",'Data Tables'!W9,'Data Tables'!X9)))))))),IF($X$21="600-625",IF($X$22="Yes",'Data Tables'!S9,'Data Tables'!T9),IF($X$21="625-650",IF($X$22="Yes",'Data Tables'!S9,'Data Tables'!T9),IF($X$21="650-675",IF($X$22="Yes",'Data Tables'!S9,'Data Tables'!T9),IF($X$21="675-700",IF($X$22="Yes",'Data Tables'!T9,'Data Tables'!T9),IF($X$21="700-750",IF($X$22="Yes",'Data Tables'!Y9,'Data Tables'!Z9),IF($X$21="750-800",IF($X$22="Yes",'Data Tables'!Y9,'Data Tables'!Z9),IF($X$21="800-850",IF($X$22="Yes",'Data Tables'!Y9,'Data Tables'!Z9),IF($X$22="Yes",'Data Tables'!Y9,'Data Tables'!Z9))))))))))),0),"")</f>
        <v/>
      </c>
      <c r="Z34" s="134"/>
      <c r="AC34" s="181"/>
      <c r="AD34" s="181"/>
      <c r="AE34" s="181"/>
      <c r="AF34" s="181"/>
      <c r="AG34" s="181"/>
      <c r="AH34" s="181"/>
      <c r="AI34" s="181"/>
      <c r="AJ34" s="181"/>
      <c r="AK34" s="181"/>
      <c r="AL34" s="181"/>
      <c r="AM34" s="181"/>
      <c r="AN34" s="181"/>
      <c r="AO34" s="181"/>
      <c r="AQ34" s="181"/>
      <c r="AR34" s="181"/>
      <c r="AS34" s="181"/>
      <c r="AT34" s="181"/>
      <c r="AU34" s="181"/>
      <c r="AV34" s="181"/>
      <c r="AW34" s="181"/>
      <c r="AX34" s="181"/>
    </row>
    <row r="35" spans="2:50" ht="16" customHeight="1" x14ac:dyDescent="0.3">
      <c r="B35" s="82"/>
      <c r="C35" s="75"/>
      <c r="D35" s="75"/>
      <c r="E35" s="435" t="str">
        <f>'Stage 2'!F28</f>
        <v>Horticulture</v>
      </c>
      <c r="F35" s="435"/>
      <c r="G35" s="435"/>
      <c r="H35" s="435"/>
      <c r="I35" s="435"/>
      <c r="J35" s="37"/>
      <c r="K35" s="210"/>
      <c r="L35" s="196" t="str">
        <f>IF('Stage 2'!$K28&gt;0,'Stage 2'!O28/'Stage 2'!$K28,"")</f>
        <v/>
      </c>
      <c r="M35" s="74"/>
      <c r="N35" s="306" t="s">
        <v>206</v>
      </c>
      <c r="O35" s="86" t="s">
        <v>232</v>
      </c>
      <c r="P35" s="96"/>
      <c r="Q35" s="37"/>
      <c r="R35" s="37"/>
      <c r="S35" s="435" t="str">
        <f t="shared" si="0"/>
        <v>Horticulture</v>
      </c>
      <c r="T35" s="435"/>
      <c r="U35" s="435"/>
      <c r="V35" s="435"/>
      <c r="W35" s="435"/>
      <c r="X35" s="306" t="s">
        <v>206</v>
      </c>
      <c r="Y35" s="171" t="str">
        <f>IF($X$15="Yes",IF($X35="Yes",(IF($X$20="Freely draining",IF($X$21="600-625",IF($X$22="Yes",'Data Tables'!O10,'Data Tables'!P10),IF($X$21="625-650",IF($X$22="Yes",'Data Tables'!O10,'Data Tables'!P10),IF($X$21="650-675",IF($X$22="Yes",'Data Tables'!O10,'Data Tables'!P10),IF($X$21="675-700",IF($X$22="Yes",'Data Tables'!O10,'Data Tables'!P10),IF($X$21="700-750",IF($X$22="Yes",'Data Tables'!U10,'Data Tables'!V10),IF($X$21="750-800",IF($X$22="Yes",'Data Tables'!U10,'Data Tables'!V10),IF($X$21="800-850",IF($X$22="Yes",'Data Tables'!U10,'Data Tables'!V10),IF($X$22="Yes",'Data Tables'!U10,'Data Tables'!V10)))))))),IF($X$20="Impermeable - drained for arable",IF($X$21="600-625",IF($X$22="Yes",'Data Tables'!Q10,'Data Tables'!R10),IF($X$21="625-650",IF($X$22="Yes",'Data Tables'!Q10,'Data Tables'!R10),IF($X$21="650-675",IF($X$22="Yes",'Data Tables'!Q10,'Data Tables'!R10),IF($X$21="675-700",IF($X$22="Yes",'Data Tables'!Q10,'Data Tables'!R10),IF($X$21="700-750",IF($X$22="Yes",'Data Tables'!W10,'Data Tables'!X10),IF($X$21="750-800",IF($X$22="Yes",'Data Tables'!W10,'Data Tables'!X10),IF($X$21="800-850",IF($X$22="Yes",'Data Tables'!W10,'Data Tables'!X10),IF($X$22="Yes",'Data Tables'!W10,'Data Tables'!X10)))))))),IF($X$21="600-625",IF($X$22="Yes",'Data Tables'!S10,'Data Tables'!T10),IF($X$21="625-650",IF($X$22="Yes",'Data Tables'!S10,'Data Tables'!T10),IF($X$21="650-675",IF($X$22="Yes",'Data Tables'!S10,'Data Tables'!T10),IF($X$21="675-700",IF($X$22="Yes",'Data Tables'!T10,'Data Tables'!T10),IF($X$21="700-750",IF($X$22="Yes",'Data Tables'!Y10,'Data Tables'!Z10),IF($X$21="750-800",IF($X$22="Yes",'Data Tables'!Y10,'Data Tables'!Z10),IF($X$21="800-850",IF($X$22="Yes",'Data Tables'!Y10,'Data Tables'!Z10),IF($X$22="Yes",'Data Tables'!Y10,'Data Tables'!Z10))))))))))),0),"")</f>
        <v/>
      </c>
      <c r="Z35" s="134"/>
      <c r="AC35" s="181"/>
      <c r="AD35" s="181"/>
      <c r="AE35" s="181"/>
      <c r="AF35" s="181"/>
      <c r="AG35" s="181"/>
      <c r="AH35" s="181"/>
      <c r="AI35" s="181"/>
      <c r="AJ35" s="181"/>
      <c r="AK35" s="181"/>
      <c r="AL35" s="181"/>
      <c r="AM35" s="181"/>
      <c r="AN35" s="181"/>
      <c r="AO35" s="181"/>
      <c r="AQ35" s="181"/>
      <c r="AR35" s="181"/>
      <c r="AS35" s="181"/>
      <c r="AT35" s="181"/>
      <c r="AU35" s="181"/>
      <c r="AV35" s="181"/>
      <c r="AW35" s="181"/>
      <c r="AX35" s="181"/>
    </row>
    <row r="36" spans="2:50" ht="16" customHeight="1" x14ac:dyDescent="0.3">
      <c r="B36" s="82"/>
      <c r="C36" s="75"/>
      <c r="D36" s="75"/>
      <c r="E36" s="435" t="str">
        <f>'Stage 2'!F29</f>
        <v>Cereals</v>
      </c>
      <c r="F36" s="435"/>
      <c r="G36" s="435"/>
      <c r="H36" s="435"/>
      <c r="I36" s="435"/>
      <c r="J36" s="37"/>
      <c r="K36" s="210"/>
      <c r="L36" s="196" t="str">
        <f>IF('Stage 2'!$K29&gt;0,'Stage 2'!O29/'Stage 2'!$K29,"")</f>
        <v/>
      </c>
      <c r="M36" s="74"/>
      <c r="N36" s="306" t="s">
        <v>206</v>
      </c>
      <c r="O36" s="86" t="s">
        <v>232</v>
      </c>
      <c r="P36" s="96"/>
      <c r="Q36" s="37"/>
      <c r="R36" s="37"/>
      <c r="S36" s="435" t="str">
        <f t="shared" si="0"/>
        <v>Cereals</v>
      </c>
      <c r="T36" s="435"/>
      <c r="U36" s="435"/>
      <c r="V36" s="435"/>
      <c r="W36" s="435"/>
      <c r="X36" s="306" t="s">
        <v>206</v>
      </c>
      <c r="Y36" s="171" t="str">
        <f>IF($X$15="Yes",IF($X36="Yes",(IF($X$20="Freely draining",IF($X$21="600-625",IF($X$22="Yes",'Data Tables'!O11,'Data Tables'!P11),IF($X$21="625-650",IF($X$22="Yes",'Data Tables'!O11,'Data Tables'!P11),IF($X$21="650-675",IF($X$22="Yes",'Data Tables'!O11,'Data Tables'!P11),IF($X$21="675-700",IF($X$22="Yes",'Data Tables'!O11,'Data Tables'!P11),IF($X$21="700-750",IF($X$22="Yes",'Data Tables'!U11,'Data Tables'!V11),IF($X$21="750-800",IF($X$22="Yes",'Data Tables'!U11,'Data Tables'!V11),IF($X$21="800-850",IF($X$22="Yes",'Data Tables'!U11,'Data Tables'!V11),IF($X$22="Yes",'Data Tables'!U11,'Data Tables'!V11)))))))),IF($X$20="Impermeable - drained for arable",IF($X$21="600-625",IF($X$22="Yes",'Data Tables'!Q11,'Data Tables'!R11),IF($X$21="625-650",IF($X$22="Yes",'Data Tables'!Q11,'Data Tables'!R11),IF($X$21="650-675",IF($X$22="Yes",'Data Tables'!Q11,'Data Tables'!R11),IF($X$21="675-700",IF($X$22="Yes",'Data Tables'!Q11,'Data Tables'!R11),IF($X$21="700-750",IF($X$22="Yes",'Data Tables'!W11,'Data Tables'!X11),IF($X$21="750-800",IF($X$22="Yes",'Data Tables'!W11,'Data Tables'!X11),IF($X$21="800-850",IF($X$22="Yes",'Data Tables'!W11,'Data Tables'!X11),IF($X$22="Yes",'Data Tables'!W11,'Data Tables'!X11)))))))),IF($X$21="600-625",IF($X$22="Yes",'Data Tables'!S11,'Data Tables'!T11),IF($X$21="625-650",IF($X$22="Yes",'Data Tables'!S11,'Data Tables'!T11),IF($X$21="650-675",IF($X$22="Yes",'Data Tables'!S11,'Data Tables'!T11),IF($X$21="675-700",IF($X$22="Yes",'Data Tables'!T11,'Data Tables'!T11),IF($X$21="700-750",IF($X$22="Yes",'Data Tables'!Y11,'Data Tables'!Z11),IF($X$21="750-800",IF($X$22="Yes",'Data Tables'!Y11,'Data Tables'!Z11),IF($X$21="800-850",IF($X$22="Yes",'Data Tables'!Y11,'Data Tables'!Z11),IF($X$22="Yes",'Data Tables'!Y11,'Data Tables'!Z11))))))))))),0),"")</f>
        <v/>
      </c>
      <c r="Z36" s="134"/>
      <c r="AC36" s="181"/>
      <c r="AD36" s="181"/>
      <c r="AE36" s="181"/>
      <c r="AF36" s="181"/>
      <c r="AG36" s="181"/>
      <c r="AH36" s="181"/>
      <c r="AI36" s="181"/>
      <c r="AJ36" s="181"/>
      <c r="AK36" s="181"/>
      <c r="AL36" s="181"/>
      <c r="AM36" s="181"/>
      <c r="AN36" s="181"/>
      <c r="AO36" s="181"/>
      <c r="AQ36" s="181"/>
      <c r="AR36" s="181"/>
      <c r="AS36" s="181"/>
      <c r="AT36" s="181"/>
      <c r="AU36" s="181"/>
      <c r="AV36" s="181"/>
      <c r="AW36" s="181"/>
      <c r="AX36" s="181"/>
    </row>
    <row r="37" spans="2:50" ht="16" customHeight="1" x14ac:dyDescent="0.3">
      <c r="B37" s="82"/>
      <c r="C37" s="75"/>
      <c r="D37" s="75"/>
      <c r="E37" s="435" t="str">
        <f>'Stage 2'!F30</f>
        <v>General Arable</v>
      </c>
      <c r="F37" s="435"/>
      <c r="G37" s="435"/>
      <c r="H37" s="435"/>
      <c r="I37" s="435"/>
      <c r="J37" s="37"/>
      <c r="K37" s="210"/>
      <c r="L37" s="196" t="str">
        <f>IF('Stage 2'!$K30&gt;0,'Stage 2'!O30/'Stage 2'!$K30,"")</f>
        <v/>
      </c>
      <c r="M37" s="74"/>
      <c r="N37" s="306" t="s">
        <v>206</v>
      </c>
      <c r="O37" s="86" t="s">
        <v>232</v>
      </c>
      <c r="P37" s="96"/>
      <c r="Q37" s="37"/>
      <c r="R37" s="37"/>
      <c r="S37" s="435" t="str">
        <f t="shared" si="0"/>
        <v>General Arable</v>
      </c>
      <c r="T37" s="435"/>
      <c r="U37" s="435"/>
      <c r="V37" s="435"/>
      <c r="W37" s="435"/>
      <c r="X37" s="306" t="s">
        <v>206</v>
      </c>
      <c r="Y37" s="171" t="str">
        <f>IF($X$15="Yes",IF($X37="Yes",(IF($X$20="Freely draining",IF($X$21="600-625",IF($X$22="Yes",'Data Tables'!O12,'Data Tables'!P12),IF($X$21="625-650",IF($X$22="Yes",'Data Tables'!O12,'Data Tables'!P12),IF($X$21="650-675",IF($X$22="Yes",'Data Tables'!O12,'Data Tables'!P12),IF($X$21="675-700",IF($X$22="Yes",'Data Tables'!O12,'Data Tables'!P12),IF($X$21="700-750",IF($X$22="Yes",'Data Tables'!U12,'Data Tables'!V12),IF($X$21="750-800",IF($X$22="Yes",'Data Tables'!U12,'Data Tables'!V12),IF($X$21="800-850",IF($X$22="Yes",'Data Tables'!U12,'Data Tables'!V12),IF($X$22="Yes",'Data Tables'!U12,'Data Tables'!V12)))))))),IF($X$20="Impermeable - drained for arable",IF($X$21="600-625",IF($X$22="Yes",'Data Tables'!Q12,'Data Tables'!R12),IF($X$21="625-650",IF($X$22="Yes",'Data Tables'!Q12,'Data Tables'!R12),IF($X$21="650-675",IF($X$22="Yes",'Data Tables'!Q12,'Data Tables'!R12),IF($X$21="675-700",IF($X$22="Yes",'Data Tables'!Q12,'Data Tables'!R12),IF($X$21="700-750",IF($X$22="Yes",'Data Tables'!W12,'Data Tables'!X12),IF($X$21="750-800",IF($X$22="Yes",'Data Tables'!W12,'Data Tables'!X12),IF($X$21="800-850",IF($X$22="Yes",'Data Tables'!W12,'Data Tables'!X12),IF($X$22="Yes",'Data Tables'!W12,'Data Tables'!X12)))))))),IF($X$21="600-625",IF($X$22="Yes",'Data Tables'!S12,'Data Tables'!T12),IF($X$21="625-650",IF($X$22="Yes",'Data Tables'!S12,'Data Tables'!T12),IF($X$21="650-675",IF($X$22="Yes",'Data Tables'!S12,'Data Tables'!T12),IF($X$21="675-700",IF($X$22="Yes",'Data Tables'!T12,'Data Tables'!T12),IF($X$21="700-750",IF($X$22="Yes",'Data Tables'!Y12,'Data Tables'!Z12),IF($X$21="750-800",IF($X$22="Yes",'Data Tables'!Y12,'Data Tables'!Z12),IF($X$21="800-850",IF($X$22="Yes",'Data Tables'!Y12,'Data Tables'!Z12),IF($X$22="Yes",'Data Tables'!Y12,'Data Tables'!Z12))))))))))),0),"")</f>
        <v/>
      </c>
      <c r="Z37" s="134"/>
      <c r="AC37" s="181"/>
      <c r="AD37" s="181"/>
      <c r="AE37" s="181"/>
      <c r="AF37" s="181"/>
      <c r="AG37" s="181"/>
      <c r="AH37" s="181"/>
      <c r="AI37" s="181"/>
      <c r="AJ37" s="181"/>
      <c r="AK37" s="181"/>
      <c r="AL37" s="181"/>
      <c r="AM37" s="181"/>
      <c r="AN37" s="181"/>
      <c r="AO37" s="181"/>
      <c r="AQ37" s="181"/>
      <c r="AR37" s="181"/>
      <c r="AS37" s="181"/>
      <c r="AT37" s="181"/>
      <c r="AU37" s="181"/>
      <c r="AV37" s="181"/>
      <c r="AW37" s="181"/>
      <c r="AX37" s="181"/>
    </row>
    <row r="38" spans="2:50" ht="16" customHeight="1" x14ac:dyDescent="0.3">
      <c r="B38" s="82"/>
      <c r="C38" s="75"/>
      <c r="D38" s="75"/>
      <c r="E38" s="435" t="str">
        <f>'Stage 2'!F31</f>
        <v>Allotments and city farms</v>
      </c>
      <c r="F38" s="435"/>
      <c r="G38" s="435"/>
      <c r="H38" s="435"/>
      <c r="I38" s="435"/>
      <c r="J38" s="37"/>
      <c r="K38" s="210"/>
      <c r="L38" s="196" t="str">
        <f>IF('Stage 2'!$K31&gt;0,'Stage 2'!O31/'Stage 2'!$K31,"")</f>
        <v/>
      </c>
      <c r="M38" s="115"/>
      <c r="N38" s="306" t="s">
        <v>206</v>
      </c>
      <c r="O38" s="86" t="s">
        <v>232</v>
      </c>
      <c r="P38" s="96"/>
      <c r="Q38" s="37"/>
      <c r="R38" s="37"/>
      <c r="S38" s="435" t="str">
        <f t="shared" si="0"/>
        <v>Allotments and city farms</v>
      </c>
      <c r="T38" s="435"/>
      <c r="U38" s="435"/>
      <c r="V38" s="435"/>
      <c r="W38" s="435"/>
      <c r="X38" s="306" t="s">
        <v>206</v>
      </c>
      <c r="Y38" s="171" t="str">
        <f>IF($X$15="Yes",IF($X38="Yes",(IF($X$20="Freely draining",IF($X$21="600-625",IF($X$22="Yes",'Data Tables'!O13,'Data Tables'!P13),IF($X$21="625-650",IF($X$22="Yes",'Data Tables'!O13,'Data Tables'!P13),IF($X$21="650-675",IF($X$22="Yes",'Data Tables'!O13,'Data Tables'!P13),IF($X$21="675-700",IF($X$22="Yes",'Data Tables'!O13,'Data Tables'!P13),IF($X$21="700-750",IF($X$22="Yes",'Data Tables'!U13,'Data Tables'!V13),IF($X$21="750-800",IF($X$22="Yes",'Data Tables'!U13,'Data Tables'!V13),IF($X$21="800-850",IF($X$22="Yes",'Data Tables'!U13,'Data Tables'!V13),IF($X$22="Yes",'Data Tables'!U13,'Data Tables'!V13)))))))),IF($X$20="Impermeable - drained for arable",IF($X$21="600-625",IF($X$22="Yes",'Data Tables'!Q13,'Data Tables'!R13),IF($X$21="625-650",IF($X$22="Yes",'Data Tables'!Q13,'Data Tables'!R13),IF($X$21="650-675",IF($X$22="Yes",'Data Tables'!Q13,'Data Tables'!R13),IF($X$21="675-700",IF($X$22="Yes",'Data Tables'!Q13,'Data Tables'!R13),IF($X$21="700-750",IF($X$22="Yes",'Data Tables'!W13,'Data Tables'!X13),IF($X$21="750-800",IF($X$22="Yes",'Data Tables'!W13,'Data Tables'!X13),IF($X$21="800-850",IF($X$22="Yes",'Data Tables'!W13,'Data Tables'!X13),IF($X$22="Yes",'Data Tables'!W13,'Data Tables'!X13)))))))),IF($X$21="600-625",IF($X$22="Yes",'Data Tables'!S13,'Data Tables'!T13),IF($X$21="625-650",IF($X$22="Yes",'Data Tables'!S13,'Data Tables'!T13),IF($X$21="650-675",IF($X$22="Yes",'Data Tables'!S13,'Data Tables'!T13),IF($X$21="675-700",IF($X$22="Yes",'Data Tables'!T13,'Data Tables'!T13),IF($X$21="700-750",IF($X$22="Yes",'Data Tables'!Y13,'Data Tables'!Z13),IF($X$21="750-800",IF($X$22="Yes",'Data Tables'!Y13,'Data Tables'!Z13),IF($X$21="800-850",IF($X$22="Yes",'Data Tables'!Y13,'Data Tables'!Z13),IF($X$22="Yes",'Data Tables'!Y13,'Data Tables'!Z13))))))))))),0),"")</f>
        <v/>
      </c>
      <c r="Z38" s="134"/>
    </row>
    <row r="39" spans="2:50" ht="16" customHeight="1" x14ac:dyDescent="0.3">
      <c r="B39" s="82"/>
      <c r="C39" s="75"/>
      <c r="D39" s="75"/>
      <c r="E39" s="435" t="str">
        <f>'Stage 2'!F32</f>
        <v>Woodland (e.g. conifer, mixed, broad-leaved)</v>
      </c>
      <c r="F39" s="435"/>
      <c r="G39" s="435"/>
      <c r="H39" s="435"/>
      <c r="I39" s="435"/>
      <c r="J39" s="37"/>
      <c r="K39" s="210"/>
      <c r="L39" s="112" t="str">
        <f>IF('Stage 2'!K32&gt;0,'Data Tables'!K7,"")</f>
        <v/>
      </c>
      <c r="M39" s="115"/>
      <c r="N39" s="306" t="s">
        <v>206</v>
      </c>
      <c r="O39" s="86" t="s">
        <v>232</v>
      </c>
      <c r="P39" s="96"/>
      <c r="Q39" s="37"/>
      <c r="R39" s="37"/>
      <c r="S39" s="435" t="str">
        <f t="shared" si="0"/>
        <v>Woodland (e.g. conifer, mixed, broad-leaved)</v>
      </c>
      <c r="T39" s="435"/>
      <c r="U39" s="435"/>
      <c r="V39" s="435"/>
      <c r="W39" s="435"/>
      <c r="X39" s="306" t="s">
        <v>206</v>
      </c>
      <c r="Y39" s="187" t="str">
        <f>IF($X$15="Yes",(IF(X39="Yes",'Data Tables'!K7,0)),"")</f>
        <v/>
      </c>
      <c r="Z39" s="134"/>
    </row>
    <row r="40" spans="2:50" ht="16" customHeight="1" x14ac:dyDescent="0.3">
      <c r="B40" s="82"/>
      <c r="C40" s="75"/>
      <c r="D40" s="75"/>
      <c r="E40" s="435" t="str">
        <f>'Stage 2'!F33</f>
        <v>Greenspace</v>
      </c>
      <c r="F40" s="435"/>
      <c r="G40" s="435"/>
      <c r="H40" s="435"/>
      <c r="I40" s="435"/>
      <c r="J40" s="37"/>
      <c r="K40" s="210"/>
      <c r="L40" s="112" t="str">
        <f>IF('Stage 2'!K33&gt;0,'Data Tables'!K6,"")</f>
        <v/>
      </c>
      <c r="M40" s="115"/>
      <c r="N40" s="306" t="s">
        <v>206</v>
      </c>
      <c r="O40" s="86" t="s">
        <v>232</v>
      </c>
      <c r="P40" s="96"/>
      <c r="Q40" s="37"/>
      <c r="R40" s="37"/>
      <c r="S40" s="435" t="str">
        <f t="shared" si="0"/>
        <v>Greenspace</v>
      </c>
      <c r="T40" s="435"/>
      <c r="U40" s="435"/>
      <c r="V40" s="435"/>
      <c r="W40" s="435"/>
      <c r="X40" s="306" t="s">
        <v>206</v>
      </c>
      <c r="Y40" s="187" t="str">
        <f>IF($X$15="Yes",(IF(X40="Yes",'Data Tables'!K6,0)),"")</f>
        <v/>
      </c>
      <c r="Z40" s="134"/>
    </row>
    <row r="41" spans="2:50" ht="16" customHeight="1" x14ac:dyDescent="0.3">
      <c r="B41" s="82"/>
      <c r="C41" s="75"/>
      <c r="D41" s="75"/>
      <c r="E41" s="435" t="str">
        <f>'Stage 2'!F34</f>
        <v>shrub / heathland / bracken / bog</v>
      </c>
      <c r="F41" s="435"/>
      <c r="G41" s="435"/>
      <c r="H41" s="435"/>
      <c r="I41" s="435"/>
      <c r="J41" s="37"/>
      <c r="K41" s="210"/>
      <c r="L41" s="112" t="str">
        <f>IF('Stage 2'!K34&gt;0,'Data Tables'!K8,"")</f>
        <v/>
      </c>
      <c r="M41" s="115"/>
      <c r="N41" s="306" t="s">
        <v>206</v>
      </c>
      <c r="O41" s="86" t="s">
        <v>232</v>
      </c>
      <c r="P41" s="96"/>
      <c r="Q41" s="37"/>
      <c r="R41" s="37"/>
      <c r="S41" s="435" t="str">
        <f t="shared" si="0"/>
        <v>shrub / heathland / bracken / bog</v>
      </c>
      <c r="T41" s="435"/>
      <c r="U41" s="435"/>
      <c r="V41" s="435"/>
      <c r="W41" s="435"/>
      <c r="X41" s="306" t="s">
        <v>206</v>
      </c>
      <c r="Y41" s="187" t="str">
        <f>IF($X$15="Yes",(IF(X41="Yes",'Data Tables'!K8,0)),"")</f>
        <v/>
      </c>
      <c r="Z41" s="134"/>
    </row>
    <row r="42" spans="2:50" ht="15" customHeight="1" x14ac:dyDescent="0.3">
      <c r="B42" s="82"/>
      <c r="C42" s="75"/>
      <c r="D42" s="75"/>
      <c r="E42" s="435" t="str">
        <f>'Stage 2'!F35</f>
        <v>Water</v>
      </c>
      <c r="F42" s="435"/>
      <c r="G42" s="435"/>
      <c r="H42" s="435"/>
      <c r="I42" s="435"/>
      <c r="J42" s="37"/>
      <c r="K42" s="210"/>
      <c r="L42" s="112" t="str">
        <f>IF('Stage 2'!K35&gt;0,'Data Tables'!K9,"")</f>
        <v/>
      </c>
      <c r="M42" s="115"/>
      <c r="N42" s="306" t="s">
        <v>206</v>
      </c>
      <c r="O42" s="86" t="s">
        <v>232</v>
      </c>
      <c r="P42" s="96"/>
      <c r="Q42" s="37"/>
      <c r="R42" s="37"/>
      <c r="S42" s="435" t="str">
        <f t="shared" si="0"/>
        <v>Water</v>
      </c>
      <c r="T42" s="435"/>
      <c r="U42" s="435"/>
      <c r="V42" s="435"/>
      <c r="W42" s="435"/>
      <c r="X42" s="306" t="s">
        <v>206</v>
      </c>
      <c r="Y42" s="187" t="str">
        <f>IF($X$15="Yes",(IF(X42="Yes",'Data Tables'!K9,0)),"")</f>
        <v/>
      </c>
      <c r="Z42" s="134"/>
    </row>
    <row r="43" spans="2:50" ht="16" customHeight="1" x14ac:dyDescent="0.3">
      <c r="B43" s="82"/>
      <c r="C43" s="75"/>
      <c r="D43" s="75"/>
      <c r="E43" s="37"/>
      <c r="F43" s="38"/>
      <c r="G43" s="37"/>
      <c r="H43" s="37"/>
      <c r="I43" s="37"/>
      <c r="J43" s="37"/>
      <c r="K43" s="170"/>
      <c r="L43" s="115"/>
      <c r="M43" s="115"/>
      <c r="N43" s="37"/>
      <c r="O43" s="90"/>
      <c r="P43" s="96"/>
      <c r="Q43" s="37"/>
      <c r="R43" s="37"/>
      <c r="S43" s="37"/>
      <c r="T43" s="37"/>
      <c r="U43" s="37"/>
      <c r="V43" s="37"/>
      <c r="W43" s="37"/>
      <c r="X43" s="303"/>
      <c r="Y43" s="37"/>
      <c r="Z43" s="134"/>
    </row>
    <row r="44" spans="2:50" ht="17.5" customHeight="1" x14ac:dyDescent="0.3">
      <c r="B44" s="82"/>
      <c r="C44" s="75"/>
      <c r="D44" s="75"/>
      <c r="E44" s="437" t="s">
        <v>328</v>
      </c>
      <c r="F44" s="437"/>
      <c r="G44" s="437"/>
      <c r="H44" s="437"/>
      <c r="I44" s="437"/>
      <c r="J44" s="37"/>
      <c r="K44" s="37"/>
      <c r="L44" s="100">
        <f>IF(L15="Yes",(IF(N20="Yes",L20,0)+IF(N25="Yes",L25,0)+IF(N26="Yes",L26,0)+IF(N27="Yes",L27,0)+IF(N28="Yes",L28,0)+IF(N29="Yes",L29,0)+IF(N30="Yes",L30,0)+IF(N31="Yes",L31,0)+IF(N32="Yes",L32,0)+IF(N33="Yes",L33,0)+IF(N34="Yes",L34,0)+IF(N35="Yes",L35,0)+IF(N36="Yes",L36,0)+IF(N37="Yes",L37,0)+IF(N38="Yes",L38,0)+IF(N39="Yes",L39,0)+IF(N40="Yes",L40,0)+IF(N41="Yes",L41,0)+IF(N42="Yes",L42,0))/COUNTIF(N20:N42,"Yes"),0)</f>
        <v>0</v>
      </c>
      <c r="M44" s="115"/>
      <c r="N44" s="37"/>
      <c r="O44" s="90"/>
      <c r="P44" s="96"/>
      <c r="Q44" s="37"/>
      <c r="R44" s="37"/>
      <c r="S44" s="437" t="s">
        <v>329</v>
      </c>
      <c r="T44" s="437"/>
      <c r="U44" s="437"/>
      <c r="V44" s="437"/>
      <c r="W44" s="437"/>
      <c r="X44" s="186">
        <f>IF(X15="Yes",SUM(Y25:Y42)/(COUNTIF(X25:X42,"Yes")),0)</f>
        <v>0</v>
      </c>
      <c r="Y44" s="5"/>
      <c r="Z44" s="134"/>
    </row>
    <row r="45" spans="2:50" ht="16" customHeight="1" x14ac:dyDescent="0.3">
      <c r="B45" s="82"/>
      <c r="C45" s="75"/>
      <c r="D45" s="75"/>
      <c r="E45" s="305"/>
      <c r="F45" s="305"/>
      <c r="G45" s="305"/>
      <c r="H45" s="305"/>
      <c r="I45" s="305"/>
      <c r="J45" s="37"/>
      <c r="K45" s="37"/>
      <c r="L45" s="115"/>
      <c r="M45" s="115"/>
      <c r="N45" s="37"/>
      <c r="O45" s="90"/>
      <c r="P45" s="37"/>
      <c r="Q45" s="37"/>
      <c r="R45" s="37"/>
      <c r="S45" s="305"/>
      <c r="T45" s="305"/>
      <c r="U45" s="305"/>
      <c r="V45" s="305"/>
      <c r="W45" s="305"/>
      <c r="X45" s="192"/>
      <c r="Y45" s="192"/>
      <c r="Z45" s="134"/>
    </row>
    <row r="46" spans="2:50" ht="16" customHeight="1" x14ac:dyDescent="0.3">
      <c r="B46" s="82"/>
      <c r="C46" s="75"/>
      <c r="D46" s="75"/>
      <c r="E46" s="37"/>
      <c r="F46" s="38"/>
      <c r="G46" s="37"/>
      <c r="H46" s="37"/>
      <c r="I46" s="37"/>
      <c r="J46" s="37"/>
      <c r="K46" s="37"/>
      <c r="L46" s="115"/>
      <c r="M46" s="115"/>
      <c r="N46" s="37"/>
      <c r="O46" s="90"/>
      <c r="P46" s="303"/>
      <c r="Q46" s="303"/>
      <c r="R46" s="37"/>
      <c r="S46" s="37"/>
      <c r="T46" s="37"/>
      <c r="U46" s="37"/>
      <c r="V46" s="37"/>
      <c r="W46" s="37"/>
      <c r="X46" s="37"/>
      <c r="Y46" s="37"/>
      <c r="Z46" s="134"/>
    </row>
    <row r="47" spans="2:50" ht="16" customHeight="1" x14ac:dyDescent="0.3">
      <c r="B47" s="82"/>
      <c r="C47" s="75"/>
      <c r="D47" s="75"/>
      <c r="E47" s="37"/>
      <c r="F47" s="38"/>
      <c r="G47" s="37"/>
      <c r="H47" s="37"/>
      <c r="I47" s="437" t="s">
        <v>330</v>
      </c>
      <c r="J47" s="437"/>
      <c r="K47" s="437"/>
      <c r="L47" s="437"/>
      <c r="M47" s="437"/>
      <c r="N47" s="437"/>
      <c r="O47" s="437"/>
      <c r="P47" s="100" t="str">
        <f>IF(L44+X44&gt;0,L44+X44,"")</f>
        <v/>
      </c>
      <c r="Q47" s="115"/>
      <c r="R47" s="192"/>
      <c r="S47" s="37"/>
      <c r="T47" s="37"/>
      <c r="U47" s="37"/>
      <c r="V47" s="37"/>
      <c r="W47" s="37"/>
      <c r="X47" s="37"/>
      <c r="Y47" s="37"/>
      <c r="Z47" s="134"/>
    </row>
    <row r="48" spans="2:50" ht="16" customHeight="1" thickBot="1" x14ac:dyDescent="0.35">
      <c r="B48" s="82"/>
      <c r="C48" s="75"/>
      <c r="D48" s="137"/>
      <c r="E48" s="97"/>
      <c r="F48" s="97"/>
      <c r="G48" s="97"/>
      <c r="H48" s="97"/>
      <c r="I48" s="97"/>
      <c r="J48" s="97"/>
      <c r="K48" s="97"/>
      <c r="L48" s="97"/>
      <c r="M48" s="97"/>
      <c r="N48" s="97"/>
      <c r="O48" s="97"/>
      <c r="P48" s="97"/>
      <c r="Q48" s="97"/>
      <c r="R48" s="97"/>
      <c r="S48" s="97"/>
      <c r="T48" s="37"/>
      <c r="U48" s="113"/>
      <c r="V48" s="113"/>
      <c r="W48" s="113"/>
      <c r="X48" s="113"/>
      <c r="Y48" s="113"/>
      <c r="Z48" s="138"/>
    </row>
    <row r="49" spans="2:26" ht="11.5" customHeight="1" x14ac:dyDescent="0.3">
      <c r="B49" s="82"/>
      <c r="C49" s="75"/>
      <c r="D49" s="37"/>
      <c r="E49" s="37"/>
      <c r="F49" s="37"/>
      <c r="G49" s="37"/>
      <c r="H49" s="37"/>
      <c r="I49" s="37"/>
      <c r="J49" s="37"/>
      <c r="K49" s="37"/>
      <c r="L49" s="37"/>
      <c r="M49" s="37"/>
      <c r="N49" s="37"/>
      <c r="O49" s="37"/>
      <c r="P49" s="37"/>
      <c r="Q49" s="37"/>
      <c r="R49" s="37"/>
      <c r="S49" s="37"/>
      <c r="T49" s="139"/>
      <c r="U49" s="147"/>
      <c r="V49" s="147"/>
      <c r="W49" s="147"/>
      <c r="X49" s="147"/>
      <c r="Y49" s="147"/>
      <c r="Z49" s="147"/>
    </row>
    <row r="50" spans="2:26" ht="12.65" customHeight="1" x14ac:dyDescent="0.3">
      <c r="B50" s="82"/>
      <c r="C50" s="75"/>
      <c r="D50" s="37"/>
      <c r="E50" s="85" t="s">
        <v>218</v>
      </c>
      <c r="F50" s="401" t="s">
        <v>331</v>
      </c>
      <c r="G50" s="401"/>
      <c r="H50" s="401"/>
      <c r="I50" s="401"/>
      <c r="J50" s="401"/>
      <c r="K50" s="295"/>
      <c r="L50" s="303" t="s">
        <v>144</v>
      </c>
      <c r="M50" s="303"/>
      <c r="N50" s="303" t="s">
        <v>145</v>
      </c>
      <c r="O50" s="37"/>
      <c r="P50" s="37"/>
      <c r="Q50" s="37"/>
      <c r="R50" s="37"/>
      <c r="S50" s="37"/>
      <c r="T50" s="139"/>
      <c r="U50" s="147"/>
      <c r="V50" s="147"/>
      <c r="W50" s="147"/>
      <c r="X50" s="147"/>
      <c r="Y50" s="147"/>
      <c r="Z50" s="147"/>
    </row>
    <row r="51" spans="2:26" ht="13" customHeight="1" x14ac:dyDescent="0.3">
      <c r="B51" s="82"/>
      <c r="C51" s="75"/>
      <c r="D51" s="37"/>
      <c r="E51" s="37"/>
      <c r="F51" s="37"/>
      <c r="G51" s="37"/>
      <c r="H51" s="37"/>
      <c r="I51" s="37"/>
      <c r="J51" s="37"/>
      <c r="K51" s="37"/>
      <c r="L51" s="303"/>
      <c r="M51" s="303"/>
      <c r="N51" s="37"/>
      <c r="O51" s="37"/>
      <c r="P51" s="37"/>
      <c r="Q51" s="37"/>
      <c r="R51" s="37"/>
      <c r="S51" s="37"/>
      <c r="T51" s="139"/>
      <c r="U51" s="147"/>
      <c r="V51" s="147"/>
      <c r="W51" s="147"/>
      <c r="X51" s="147"/>
      <c r="Y51" s="147"/>
      <c r="Z51" s="147"/>
    </row>
    <row r="52" spans="2:26" ht="13" customHeight="1" x14ac:dyDescent="0.3">
      <c r="B52" s="82"/>
      <c r="C52" s="75"/>
      <c r="D52" s="37"/>
      <c r="E52" s="435" t="s">
        <v>295</v>
      </c>
      <c r="F52" s="435"/>
      <c r="G52" s="435"/>
      <c r="H52" s="435"/>
      <c r="I52" s="435"/>
      <c r="J52" s="37"/>
      <c r="K52" s="37"/>
      <c r="L52" s="145" t="e">
        <f>(1/(((P47-(-IF(L60&gt;0,L60,8))))/$L$10))</f>
        <v>#VALUE!</v>
      </c>
      <c r="M52" s="193"/>
      <c r="N52" s="86" t="s">
        <v>212</v>
      </c>
      <c r="O52" s="37"/>
      <c r="P52" s="37"/>
      <c r="Q52" s="37"/>
      <c r="R52" s="37"/>
      <c r="S52" s="37"/>
      <c r="T52" s="139"/>
      <c r="U52" s="147"/>
      <c r="V52" s="147"/>
      <c r="W52" s="147"/>
      <c r="X52" s="147"/>
      <c r="Y52" s="147"/>
      <c r="Z52" s="147"/>
    </row>
    <row r="53" spans="2:26" ht="14.5" customHeight="1" x14ac:dyDescent="0.3">
      <c r="B53" s="82"/>
      <c r="C53" s="75"/>
      <c r="D53" s="37"/>
      <c r="E53" s="435" t="s">
        <v>332</v>
      </c>
      <c r="F53" s="435"/>
      <c r="G53" s="435"/>
      <c r="H53" s="435"/>
      <c r="I53" s="435"/>
      <c r="J53" s="37"/>
      <c r="K53" s="37"/>
      <c r="L53" s="145" t="e">
        <f>(L10/($P$47-'Data Tables'!AI4))</f>
        <v>#VALUE!</v>
      </c>
      <c r="M53" s="193"/>
      <c r="N53" s="86" t="s">
        <v>212</v>
      </c>
      <c r="O53" s="37"/>
      <c r="P53" s="37"/>
      <c r="Q53" s="37"/>
      <c r="R53" s="37"/>
      <c r="S53" s="37"/>
      <c r="T53" s="139"/>
      <c r="U53" s="147"/>
      <c r="V53" s="147"/>
      <c r="W53" s="147"/>
      <c r="X53" s="147"/>
      <c r="Y53" s="147"/>
      <c r="Z53" s="147"/>
    </row>
    <row r="54" spans="2:26" ht="14.5" customHeight="1" x14ac:dyDescent="0.3">
      <c r="B54" s="82"/>
      <c r="C54" s="75"/>
      <c r="D54" s="37"/>
      <c r="E54" s="435" t="s">
        <v>71</v>
      </c>
      <c r="F54" s="435"/>
      <c r="G54" s="435"/>
      <c r="H54" s="435"/>
      <c r="I54" s="435"/>
      <c r="J54" s="303"/>
      <c r="K54" s="303"/>
      <c r="L54" s="145" t="e">
        <f>(1/(($P$47-'Data Tables'!K9)/$L$10))</f>
        <v>#VALUE!</v>
      </c>
      <c r="M54" s="193"/>
      <c r="N54" s="86" t="s">
        <v>212</v>
      </c>
      <c r="O54" s="140"/>
      <c r="P54" s="141"/>
      <c r="Q54" s="141"/>
      <c r="R54" s="86"/>
      <c r="S54" s="37"/>
      <c r="T54" s="139"/>
      <c r="U54" s="147"/>
      <c r="V54" s="147"/>
      <c r="W54" s="147"/>
      <c r="X54" s="147"/>
      <c r="Y54" s="147"/>
      <c r="Z54" s="147"/>
    </row>
    <row r="55" spans="2:26" ht="14.5" customHeight="1" x14ac:dyDescent="0.3">
      <c r="B55" s="82"/>
      <c r="C55" s="75"/>
      <c r="D55" s="37"/>
      <c r="E55" s="435" t="s">
        <v>67</v>
      </c>
      <c r="F55" s="435"/>
      <c r="G55" s="435"/>
      <c r="H55" s="435"/>
      <c r="I55" s="435"/>
      <c r="J55" s="303"/>
      <c r="K55" s="303"/>
      <c r="L55" s="145" t="e">
        <f>(1/(($P$47-'Data Tables'!K7)/$L$10))</f>
        <v>#VALUE!</v>
      </c>
      <c r="M55" s="193"/>
      <c r="N55" s="86" t="s">
        <v>212</v>
      </c>
      <c r="O55" s="140"/>
      <c r="P55" s="141"/>
      <c r="Q55" s="141"/>
      <c r="R55" s="86"/>
      <c r="S55" s="37"/>
      <c r="T55" s="139"/>
      <c r="U55" s="147"/>
      <c r="V55" s="147"/>
      <c r="W55" s="147"/>
      <c r="X55" s="147"/>
      <c r="Y55" s="147"/>
      <c r="Z55" s="147"/>
    </row>
    <row r="56" spans="2:26" ht="14.5" customHeight="1" x14ac:dyDescent="0.3">
      <c r="B56" s="82"/>
      <c r="C56" s="75"/>
      <c r="D56" s="37"/>
      <c r="E56" s="435" t="s">
        <v>333</v>
      </c>
      <c r="F56" s="435"/>
      <c r="G56" s="435"/>
      <c r="H56" s="435"/>
      <c r="I56" s="435"/>
      <c r="J56" s="303"/>
      <c r="K56" s="303"/>
      <c r="L56" s="145" t="e">
        <f>(1/(($P$47-'Data Tables'!K8)/$L$10))</f>
        <v>#VALUE!</v>
      </c>
      <c r="M56" s="193"/>
      <c r="N56" s="86" t="s">
        <v>212</v>
      </c>
      <c r="O56" s="140"/>
      <c r="P56" s="141"/>
      <c r="Q56" s="141"/>
      <c r="R56" s="86"/>
      <c r="S56" s="37"/>
      <c r="T56" s="139"/>
      <c r="U56" s="147"/>
      <c r="V56" s="147"/>
      <c r="W56" s="147"/>
      <c r="X56" s="147"/>
      <c r="Y56" s="147"/>
      <c r="Z56" s="147"/>
    </row>
    <row r="57" spans="2:26" ht="14.5" customHeight="1" x14ac:dyDescent="0.3">
      <c r="B57" s="82"/>
      <c r="C57" s="75"/>
      <c r="D57" s="37"/>
      <c r="E57" s="435" t="s">
        <v>334</v>
      </c>
      <c r="F57" s="435"/>
      <c r="G57" s="435"/>
      <c r="H57" s="435"/>
      <c r="I57" s="435"/>
      <c r="J57" s="303"/>
      <c r="K57" s="303"/>
      <c r="L57" s="145" t="e">
        <f>(1/(($P$47-'Data Tables'!K6)/$L$10))</f>
        <v>#VALUE!</v>
      </c>
      <c r="M57" s="193"/>
      <c r="N57" s="86" t="s">
        <v>212</v>
      </c>
      <c r="O57" s="140"/>
      <c r="P57" s="141"/>
      <c r="Q57" s="141"/>
      <c r="R57" s="86"/>
      <c r="S57" s="37"/>
      <c r="T57" s="139"/>
      <c r="U57" s="147"/>
      <c r="V57" s="147"/>
      <c r="W57" s="147"/>
      <c r="X57" s="147"/>
      <c r="Y57" s="147"/>
      <c r="Z57" s="147"/>
    </row>
    <row r="58" spans="2:26" ht="7.5" customHeight="1" x14ac:dyDescent="0.3">
      <c r="B58" s="82"/>
      <c r="C58" s="75"/>
      <c r="D58" s="37"/>
      <c r="E58" s="37"/>
      <c r="F58" s="37"/>
      <c r="G58" s="37"/>
      <c r="H58" s="37"/>
      <c r="I58" s="37"/>
      <c r="J58" s="37"/>
      <c r="K58" s="37"/>
      <c r="L58" s="37"/>
      <c r="M58" s="37"/>
      <c r="N58" s="37"/>
      <c r="O58" s="37"/>
      <c r="P58" s="37"/>
      <c r="Q58" s="37"/>
      <c r="R58" s="37"/>
      <c r="S58" s="37"/>
      <c r="T58" s="139"/>
      <c r="U58" s="147"/>
      <c r="V58" s="147"/>
      <c r="W58" s="147"/>
      <c r="X58" s="147"/>
      <c r="Y58" s="147"/>
      <c r="Z58" s="147"/>
    </row>
    <row r="59" spans="2:26" ht="16" customHeight="1" x14ac:dyDescent="0.3">
      <c r="B59" s="82"/>
      <c r="C59" s="75"/>
      <c r="D59" s="37"/>
      <c r="E59" s="37"/>
      <c r="F59" s="401" t="s">
        <v>335</v>
      </c>
      <c r="G59" s="401"/>
      <c r="H59" s="401"/>
      <c r="I59" s="401"/>
      <c r="J59" s="401"/>
      <c r="K59" s="295"/>
      <c r="L59" s="5"/>
      <c r="M59" s="5"/>
      <c r="N59" s="37"/>
      <c r="O59" s="37"/>
      <c r="P59" s="37"/>
      <c r="Q59" s="37"/>
      <c r="R59" s="37"/>
      <c r="S59" s="37"/>
      <c r="T59" s="139"/>
      <c r="U59" s="147"/>
      <c r="V59" s="147"/>
      <c r="W59" s="147"/>
      <c r="X59" s="147"/>
      <c r="Y59" s="147"/>
      <c r="Z59" s="147"/>
    </row>
    <row r="60" spans="2:26" ht="18" customHeight="1" x14ac:dyDescent="0.3">
      <c r="B60" s="82"/>
      <c r="C60" s="75"/>
      <c r="D60" s="37"/>
      <c r="E60" s="37"/>
      <c r="F60" s="37"/>
      <c r="G60" s="400" t="s">
        <v>336</v>
      </c>
      <c r="H60" s="400"/>
      <c r="I60" s="400"/>
      <c r="J60" s="400"/>
      <c r="K60" s="289"/>
      <c r="L60" s="306"/>
      <c r="M60" s="303"/>
      <c r="N60" s="86" t="s">
        <v>232</v>
      </c>
      <c r="O60" s="75"/>
      <c r="P60" s="37"/>
      <c r="Q60" s="37"/>
      <c r="R60" s="37"/>
      <c r="S60" s="37"/>
      <c r="T60" s="139"/>
      <c r="U60" s="147"/>
      <c r="V60" s="147"/>
      <c r="W60" s="147"/>
      <c r="X60" s="147"/>
      <c r="Y60" s="147"/>
      <c r="Z60" s="147"/>
    </row>
    <row r="61" spans="2:26" ht="38.15" customHeight="1" x14ac:dyDescent="0.3">
      <c r="B61" s="82"/>
      <c r="C61" s="75"/>
      <c r="D61" s="37"/>
      <c r="E61" s="405" t="s">
        <v>337</v>
      </c>
      <c r="F61" s="405"/>
      <c r="G61" s="405"/>
      <c r="H61" s="405"/>
      <c r="I61" s="405"/>
      <c r="J61" s="405"/>
      <c r="K61" s="405"/>
      <c r="L61" s="405"/>
      <c r="M61" s="405"/>
      <c r="N61" s="405"/>
      <c r="O61" s="405"/>
      <c r="P61" s="405"/>
      <c r="Q61" s="405"/>
      <c r="R61" s="405"/>
      <c r="S61" s="405"/>
      <c r="T61" s="139"/>
      <c r="U61" s="147"/>
      <c r="V61" s="147"/>
      <c r="W61" s="147"/>
      <c r="X61" s="147"/>
      <c r="Y61" s="147"/>
      <c r="Z61" s="147"/>
    </row>
    <row r="62" spans="2:26" ht="14.5" customHeight="1" x14ac:dyDescent="0.3">
      <c r="B62" s="82"/>
      <c r="C62" s="75"/>
      <c r="D62" s="37"/>
      <c r="E62" s="37"/>
      <c r="F62" s="37"/>
      <c r="G62" s="37"/>
      <c r="H62" s="37"/>
      <c r="I62" s="37"/>
      <c r="J62" s="37"/>
      <c r="K62" s="37"/>
      <c r="L62" s="5"/>
      <c r="M62" s="5"/>
      <c r="N62" s="37"/>
      <c r="O62" s="37"/>
      <c r="P62" s="5"/>
      <c r="Q62" s="5"/>
      <c r="R62" s="37"/>
      <c r="S62" s="37"/>
      <c r="T62" s="139"/>
      <c r="U62" s="147"/>
      <c r="V62" s="147"/>
      <c r="W62" s="147"/>
      <c r="X62" s="147"/>
      <c r="Y62" s="147"/>
      <c r="Z62" s="147"/>
    </row>
    <row r="63" spans="2:26" ht="10" customHeight="1" x14ac:dyDescent="0.3">
      <c r="B63" s="82"/>
      <c r="C63" s="75"/>
      <c r="D63" s="37"/>
      <c r="E63" s="85" t="s">
        <v>193</v>
      </c>
      <c r="F63" s="99" t="s">
        <v>338</v>
      </c>
      <c r="G63" s="37"/>
      <c r="H63" s="37"/>
      <c r="I63" s="37"/>
      <c r="J63" s="37"/>
      <c r="K63" s="37"/>
      <c r="L63" s="303" t="s">
        <v>144</v>
      </c>
      <c r="M63" s="303"/>
      <c r="N63" s="303" t="s">
        <v>145</v>
      </c>
      <c r="O63" s="303"/>
      <c r="P63" s="303" t="s">
        <v>144</v>
      </c>
      <c r="Q63" s="303"/>
      <c r="R63" s="303"/>
      <c r="S63" s="37"/>
      <c r="T63" s="139"/>
      <c r="U63" s="147"/>
      <c r="V63" s="147"/>
      <c r="W63" s="147"/>
      <c r="X63" s="147"/>
      <c r="Y63" s="147"/>
      <c r="Z63" s="147"/>
    </row>
    <row r="64" spans="2:26" ht="13.5" customHeight="1" x14ac:dyDescent="0.3">
      <c r="B64" s="82"/>
      <c r="C64" s="75"/>
      <c r="D64" s="37"/>
      <c r="E64" s="85"/>
      <c r="F64" s="99"/>
      <c r="G64" s="37"/>
      <c r="H64" s="37"/>
      <c r="I64" s="37"/>
      <c r="J64" s="37"/>
      <c r="K64" s="37"/>
      <c r="L64" s="303"/>
      <c r="M64" s="303"/>
      <c r="N64" s="37"/>
      <c r="O64" s="37"/>
      <c r="P64" s="303"/>
      <c r="Q64" s="303"/>
      <c r="R64" s="303"/>
      <c r="S64" s="37"/>
      <c r="T64" s="139"/>
      <c r="U64" s="147"/>
      <c r="V64" s="148"/>
      <c r="W64" s="147"/>
      <c r="X64" s="147"/>
      <c r="Y64" s="147"/>
      <c r="Z64" s="147"/>
    </row>
    <row r="65" spans="2:26" ht="19" customHeight="1" x14ac:dyDescent="0.3">
      <c r="B65" s="82"/>
      <c r="C65" s="75"/>
      <c r="D65" s="37"/>
      <c r="E65" s="435" t="s">
        <v>295</v>
      </c>
      <c r="F65" s="435"/>
      <c r="G65" s="435"/>
      <c r="H65" s="435"/>
      <c r="I65" s="435"/>
      <c r="J65" s="303"/>
      <c r="K65" s="303"/>
      <c r="L65" s="195"/>
      <c r="M65" s="141"/>
      <c r="N65" s="86" t="s">
        <v>190</v>
      </c>
      <c r="O65" s="140"/>
      <c r="P65" s="145" t="str">
        <f>IF(L65&gt;0,(1/(($P$47-(-IF(L60&gt;0,L60,8)))/L65)),"0")</f>
        <v>0</v>
      </c>
      <c r="Q65" s="193"/>
      <c r="R65" s="86" t="s">
        <v>212</v>
      </c>
      <c r="S65" s="37"/>
      <c r="T65" s="139"/>
      <c r="U65" s="147"/>
      <c r="V65" s="148"/>
      <c r="W65" s="147"/>
      <c r="X65" s="147"/>
      <c r="Y65" s="147"/>
      <c r="Z65" s="147"/>
    </row>
    <row r="66" spans="2:26" ht="22.5" customHeight="1" x14ac:dyDescent="0.3">
      <c r="B66" s="82"/>
      <c r="C66" s="75"/>
      <c r="D66" s="37"/>
      <c r="E66" s="435" t="s">
        <v>332</v>
      </c>
      <c r="F66" s="435"/>
      <c r="G66" s="435"/>
      <c r="H66" s="435"/>
      <c r="I66" s="435"/>
      <c r="J66" s="303"/>
      <c r="K66" s="303"/>
      <c r="L66" s="195"/>
      <c r="M66" s="141"/>
      <c r="N66" s="86" t="s">
        <v>190</v>
      </c>
      <c r="O66" s="140"/>
      <c r="P66" s="145" t="str">
        <f>IF(L66&gt;0,(1/(($P$47-'Data Tables'!AI4)/L66)),"0")</f>
        <v>0</v>
      </c>
      <c r="Q66" s="193"/>
      <c r="R66" s="86" t="s">
        <v>212</v>
      </c>
      <c r="S66" s="37"/>
      <c r="T66" s="139"/>
      <c r="U66" s="147"/>
      <c r="V66" s="147"/>
      <c r="W66" s="147"/>
      <c r="X66" s="147"/>
      <c r="Y66" s="147"/>
      <c r="Z66" s="147"/>
    </row>
    <row r="67" spans="2:26" ht="13.5" customHeight="1" x14ac:dyDescent="0.3">
      <c r="B67" s="82"/>
      <c r="C67" s="75"/>
      <c r="D67" s="37"/>
      <c r="E67" s="435" t="s">
        <v>71</v>
      </c>
      <c r="F67" s="435"/>
      <c r="G67" s="435"/>
      <c r="H67" s="435"/>
      <c r="I67" s="435"/>
      <c r="J67" s="303"/>
      <c r="K67" s="303"/>
      <c r="L67" s="195"/>
      <c r="M67" s="141"/>
      <c r="N67" s="86" t="s">
        <v>190</v>
      </c>
      <c r="O67" s="140"/>
      <c r="P67" s="145" t="str">
        <f>IF(L67&gt;0,(1/(($P$47-'Data Tables'!K9)/L67)),"0")</f>
        <v>0</v>
      </c>
      <c r="Q67" s="193"/>
      <c r="R67" s="86" t="s">
        <v>212</v>
      </c>
      <c r="S67" s="37"/>
      <c r="T67" s="139"/>
      <c r="U67" s="147"/>
      <c r="V67" s="148"/>
      <c r="W67" s="147"/>
      <c r="X67" s="147"/>
      <c r="Y67" s="147"/>
      <c r="Z67" s="147"/>
    </row>
    <row r="68" spans="2:26" ht="16.5" customHeight="1" x14ac:dyDescent="0.3">
      <c r="B68" s="82"/>
      <c r="C68" s="75"/>
      <c r="D68" s="37"/>
      <c r="E68" s="435" t="s">
        <v>67</v>
      </c>
      <c r="F68" s="435"/>
      <c r="G68" s="435"/>
      <c r="H68" s="435"/>
      <c r="I68" s="435"/>
      <c r="J68" s="303"/>
      <c r="K68" s="303"/>
      <c r="L68" s="195"/>
      <c r="M68" s="141"/>
      <c r="N68" s="86" t="s">
        <v>190</v>
      </c>
      <c r="O68" s="140"/>
      <c r="P68" s="145" t="str">
        <f>IF(L68&gt;0,(1/(($P$47-'Data Tables'!K7)/L68)),"0")</f>
        <v>0</v>
      </c>
      <c r="Q68" s="193"/>
      <c r="R68" s="86" t="s">
        <v>212</v>
      </c>
      <c r="S68" s="37"/>
      <c r="T68" s="139"/>
      <c r="U68" s="147"/>
      <c r="V68" s="147"/>
      <c r="W68" s="147"/>
      <c r="X68" s="147"/>
      <c r="Y68" s="147"/>
      <c r="Z68" s="147"/>
    </row>
    <row r="69" spans="2:26" ht="16.5" customHeight="1" x14ac:dyDescent="0.3">
      <c r="B69" s="82"/>
      <c r="C69" s="75"/>
      <c r="D69" s="37"/>
      <c r="E69" s="435" t="s">
        <v>333</v>
      </c>
      <c r="F69" s="435"/>
      <c r="G69" s="435"/>
      <c r="H69" s="435"/>
      <c r="I69" s="435"/>
      <c r="J69" s="303"/>
      <c r="K69" s="303"/>
      <c r="L69" s="195"/>
      <c r="M69" s="141"/>
      <c r="N69" s="86" t="s">
        <v>190</v>
      </c>
      <c r="O69" s="140"/>
      <c r="P69" s="145" t="str">
        <f>IF(L69&gt;0,(1/(($P$47-'Data Tables'!K8)/L69)),"0")</f>
        <v>0</v>
      </c>
      <c r="Q69" s="193"/>
      <c r="R69" s="86" t="s">
        <v>212</v>
      </c>
      <c r="S69" s="37"/>
      <c r="T69" s="139"/>
      <c r="U69" s="147"/>
      <c r="V69" s="147"/>
      <c r="W69" s="147"/>
      <c r="X69" s="147"/>
      <c r="Y69" s="147"/>
      <c r="Z69" s="147"/>
    </row>
    <row r="70" spans="2:26" ht="16.5" customHeight="1" x14ac:dyDescent="0.3">
      <c r="B70" s="82"/>
      <c r="C70" s="75"/>
      <c r="D70" s="37"/>
      <c r="E70" s="435" t="s">
        <v>334</v>
      </c>
      <c r="F70" s="435"/>
      <c r="G70" s="435"/>
      <c r="H70" s="435"/>
      <c r="I70" s="435"/>
      <c r="J70" s="303"/>
      <c r="K70" s="303"/>
      <c r="L70" s="195"/>
      <c r="M70" s="141"/>
      <c r="N70" s="86" t="s">
        <v>190</v>
      </c>
      <c r="O70" s="140"/>
      <c r="P70" s="145" t="str">
        <f>IF(L70&gt;0,(1/(($P$47-'Data Tables'!K6)/L70)),"0")</f>
        <v>0</v>
      </c>
      <c r="Q70" s="193"/>
      <c r="R70" s="86" t="s">
        <v>212</v>
      </c>
      <c r="S70" s="37"/>
      <c r="T70" s="139"/>
      <c r="U70" s="147"/>
      <c r="V70" s="147"/>
      <c r="W70" s="147"/>
      <c r="X70" s="147"/>
      <c r="Y70" s="147"/>
      <c r="Z70" s="147"/>
    </row>
    <row r="71" spans="2:26" ht="22" customHeight="1" x14ac:dyDescent="0.3">
      <c r="B71" s="82"/>
      <c r="C71" s="75"/>
      <c r="D71" s="37"/>
      <c r="E71" s="37"/>
      <c r="F71" s="37"/>
      <c r="G71" s="37"/>
      <c r="H71" s="37"/>
      <c r="I71" s="37"/>
      <c r="J71" s="37"/>
      <c r="K71" s="37"/>
      <c r="L71" s="37"/>
      <c r="M71" s="37"/>
      <c r="N71" s="86"/>
      <c r="O71" s="86"/>
      <c r="P71" s="142"/>
      <c r="Q71" s="142"/>
      <c r="R71" s="86"/>
      <c r="S71" s="37"/>
      <c r="T71" s="139"/>
      <c r="U71" s="147"/>
      <c r="V71" s="147"/>
      <c r="W71" s="147"/>
      <c r="X71" s="147"/>
      <c r="Y71" s="147"/>
      <c r="Z71" s="147"/>
    </row>
    <row r="72" spans="2:26" ht="15.65" customHeight="1" x14ac:dyDescent="0.3">
      <c r="B72" s="82"/>
      <c r="C72" s="75"/>
      <c r="D72" s="37"/>
      <c r="E72" s="37"/>
      <c r="F72" s="402" t="s">
        <v>339</v>
      </c>
      <c r="G72" s="402"/>
      <c r="H72" s="402"/>
      <c r="I72" s="402"/>
      <c r="J72" s="37"/>
      <c r="K72" s="37"/>
      <c r="L72" s="100">
        <f>L10-(SUM(L65:L70))</f>
        <v>0</v>
      </c>
      <c r="M72" s="115"/>
      <c r="N72" s="90" t="s">
        <v>192</v>
      </c>
      <c r="O72" s="90"/>
      <c r="P72" s="112">
        <f>SUM(P65:P70)</f>
        <v>0</v>
      </c>
      <c r="Q72" s="194"/>
      <c r="R72" s="90" t="s">
        <v>212</v>
      </c>
      <c r="S72" s="37"/>
      <c r="T72" s="139"/>
      <c r="U72" s="147"/>
      <c r="V72" s="147"/>
      <c r="W72" s="147"/>
      <c r="X72" s="147"/>
      <c r="Y72" s="147"/>
      <c r="Z72" s="147"/>
    </row>
    <row r="73" spans="2:26" ht="18" customHeight="1" x14ac:dyDescent="0.3">
      <c r="B73" s="82"/>
      <c r="C73" s="75"/>
      <c r="D73" s="37"/>
      <c r="E73" s="37"/>
      <c r="F73" s="37"/>
      <c r="G73" s="37"/>
      <c r="H73" s="37"/>
      <c r="I73" s="37"/>
      <c r="J73" s="37"/>
      <c r="K73" s="37"/>
      <c r="L73" s="37"/>
      <c r="M73" s="37"/>
      <c r="N73" s="37"/>
      <c r="O73" s="37"/>
      <c r="P73" s="37"/>
      <c r="Q73" s="37"/>
      <c r="R73" s="37"/>
      <c r="S73" s="37"/>
      <c r="T73" s="139"/>
      <c r="U73" s="147"/>
      <c r="V73" s="147"/>
      <c r="W73" s="147"/>
      <c r="X73" s="147"/>
      <c r="Y73" s="147"/>
      <c r="Z73" s="147"/>
    </row>
    <row r="74" spans="2:26" ht="33.65" customHeight="1" x14ac:dyDescent="0.3">
      <c r="B74" s="82"/>
      <c r="C74" s="75"/>
      <c r="D74" s="37"/>
      <c r="E74" s="405" t="s">
        <v>486</v>
      </c>
      <c r="F74" s="405"/>
      <c r="G74" s="405"/>
      <c r="H74" s="405"/>
      <c r="I74" s="405"/>
      <c r="J74" s="405"/>
      <c r="K74" s="405"/>
      <c r="L74" s="405"/>
      <c r="M74" s="405"/>
      <c r="N74" s="405"/>
      <c r="O74" s="405"/>
      <c r="P74" s="405"/>
      <c r="Q74" s="405"/>
      <c r="R74" s="405"/>
      <c r="S74" s="405"/>
      <c r="T74" s="139"/>
      <c r="U74" s="147"/>
      <c r="V74" s="147"/>
      <c r="W74" s="147"/>
      <c r="X74" s="147"/>
      <c r="Y74" s="147"/>
      <c r="Z74" s="147"/>
    </row>
    <row r="75" spans="2:26" ht="13" x14ac:dyDescent="0.3">
      <c r="B75" s="82"/>
      <c r="C75" s="75"/>
      <c r="D75" s="37"/>
      <c r="E75" s="37"/>
      <c r="F75" s="37"/>
      <c r="G75" s="37"/>
      <c r="H75" s="37"/>
      <c r="I75" s="37"/>
      <c r="J75" s="37"/>
      <c r="K75" s="37"/>
      <c r="L75" s="37"/>
      <c r="M75" s="37"/>
      <c r="N75" s="37"/>
      <c r="O75" s="37"/>
      <c r="P75" s="37"/>
      <c r="Q75" s="37"/>
      <c r="R75" s="37"/>
      <c r="S75" s="37"/>
      <c r="T75" s="139"/>
      <c r="U75" s="147"/>
      <c r="V75" s="147"/>
      <c r="W75" s="147"/>
      <c r="X75" s="147"/>
      <c r="Y75" s="147"/>
      <c r="Z75" s="147"/>
    </row>
    <row r="76" spans="2:26" ht="15.5" x14ac:dyDescent="0.3">
      <c r="B76" s="82"/>
      <c r="C76" s="75"/>
      <c r="D76" s="37"/>
      <c r="E76" s="85" t="s">
        <v>258</v>
      </c>
      <c r="F76" s="99" t="s">
        <v>338</v>
      </c>
      <c r="G76" s="37"/>
      <c r="H76" s="37"/>
      <c r="I76" s="37"/>
      <c r="J76" s="37"/>
      <c r="K76" s="37"/>
      <c r="L76" s="303" t="s">
        <v>144</v>
      </c>
      <c r="M76" s="303"/>
      <c r="N76" s="303" t="s">
        <v>145</v>
      </c>
      <c r="O76" s="303"/>
      <c r="P76" s="303" t="s">
        <v>144</v>
      </c>
      <c r="Q76" s="303"/>
      <c r="R76" s="303"/>
      <c r="S76" s="37"/>
      <c r="T76" s="139"/>
      <c r="U76" s="147"/>
      <c r="V76" s="147"/>
      <c r="W76" s="147"/>
      <c r="X76" s="147"/>
      <c r="Y76" s="147"/>
      <c r="Z76" s="147"/>
    </row>
    <row r="77" spans="2:26" ht="15.5" x14ac:dyDescent="0.3">
      <c r="B77" s="82"/>
      <c r="C77" s="75"/>
      <c r="D77" s="37"/>
      <c r="E77" s="85"/>
      <c r="F77" s="99"/>
      <c r="G77" s="37"/>
      <c r="H77" s="37"/>
      <c r="I77" s="37"/>
      <c r="J77" s="37"/>
      <c r="K77" s="37"/>
      <c r="L77" s="303"/>
      <c r="M77" s="303"/>
      <c r="N77" s="37"/>
      <c r="O77" s="37"/>
      <c r="P77" s="303"/>
      <c r="Q77" s="303"/>
      <c r="R77" s="303"/>
      <c r="S77" s="37"/>
      <c r="T77" s="139"/>
      <c r="U77" s="147"/>
      <c r="V77" s="147"/>
      <c r="W77" s="147"/>
      <c r="X77" s="147"/>
      <c r="Y77" s="147"/>
      <c r="Z77" s="147"/>
    </row>
    <row r="78" spans="2:26" ht="13" x14ac:dyDescent="0.3">
      <c r="B78" s="82"/>
      <c r="C78" s="75"/>
      <c r="D78" s="37"/>
      <c r="E78" s="435" t="s">
        <v>295</v>
      </c>
      <c r="F78" s="435"/>
      <c r="G78" s="435"/>
      <c r="H78" s="435"/>
      <c r="I78" s="435"/>
      <c r="J78" s="303"/>
      <c r="K78" s="303"/>
      <c r="L78" s="168"/>
      <c r="M78" s="193"/>
      <c r="N78" s="86" t="s">
        <v>340</v>
      </c>
      <c r="O78" s="140"/>
      <c r="P78" s="102" t="e">
        <f>L78*($P$47-(-IF(L60&gt;0,L60,8)))</f>
        <v>#VALUE!</v>
      </c>
      <c r="Q78" s="141"/>
      <c r="R78" s="86" t="s">
        <v>190</v>
      </c>
      <c r="S78" s="37"/>
      <c r="T78" s="139"/>
      <c r="U78" s="147"/>
      <c r="V78" s="147"/>
      <c r="W78" s="147"/>
      <c r="X78" s="147"/>
      <c r="Y78" s="147"/>
      <c r="Z78" s="147"/>
    </row>
    <row r="79" spans="2:26" ht="13" x14ac:dyDescent="0.3">
      <c r="B79" s="82"/>
      <c r="C79" s="75"/>
      <c r="D79" s="37"/>
      <c r="E79" s="435" t="s">
        <v>332</v>
      </c>
      <c r="F79" s="435"/>
      <c r="G79" s="435"/>
      <c r="H79" s="435"/>
      <c r="I79" s="435"/>
      <c r="J79" s="303"/>
      <c r="K79" s="303"/>
      <c r="L79" s="168"/>
      <c r="M79" s="193"/>
      <c r="N79" s="86" t="s">
        <v>340</v>
      </c>
      <c r="O79" s="140"/>
      <c r="P79" s="102" t="e">
        <f>L79*($P$47-'Data Tables'!AI4)</f>
        <v>#VALUE!</v>
      </c>
      <c r="Q79" s="141"/>
      <c r="R79" s="86" t="s">
        <v>190</v>
      </c>
      <c r="S79" s="37"/>
      <c r="T79" s="139"/>
      <c r="U79" s="147"/>
      <c r="V79" s="147"/>
      <c r="W79" s="147"/>
      <c r="X79" s="147"/>
      <c r="Y79" s="147"/>
      <c r="Z79" s="147"/>
    </row>
    <row r="80" spans="2:26" ht="13" x14ac:dyDescent="0.3">
      <c r="B80" s="82"/>
      <c r="C80" s="75"/>
      <c r="D80" s="37"/>
      <c r="E80" s="435" t="s">
        <v>71</v>
      </c>
      <c r="F80" s="435"/>
      <c r="G80" s="435"/>
      <c r="H80" s="435"/>
      <c r="I80" s="435"/>
      <c r="J80" s="303"/>
      <c r="K80" s="303"/>
      <c r="L80" s="168"/>
      <c r="M80" s="193"/>
      <c r="N80" s="86" t="s">
        <v>340</v>
      </c>
      <c r="O80" s="140"/>
      <c r="P80" s="102" t="e">
        <f>L80*($P$47-'Data Tables'!K9)</f>
        <v>#VALUE!</v>
      </c>
      <c r="Q80" s="141"/>
      <c r="R80" s="86" t="s">
        <v>190</v>
      </c>
      <c r="S80" s="37"/>
      <c r="T80" s="139"/>
      <c r="U80" s="147"/>
      <c r="V80" s="147"/>
      <c r="W80" s="147"/>
      <c r="X80" s="147"/>
      <c r="Y80" s="147"/>
      <c r="Z80" s="147"/>
    </row>
    <row r="81" spans="2:26" ht="13" x14ac:dyDescent="0.3">
      <c r="B81" s="82"/>
      <c r="C81" s="75"/>
      <c r="D81" s="37"/>
      <c r="E81" s="435" t="s">
        <v>67</v>
      </c>
      <c r="F81" s="435"/>
      <c r="G81" s="435"/>
      <c r="H81" s="435"/>
      <c r="I81" s="435"/>
      <c r="J81" s="303"/>
      <c r="K81" s="303"/>
      <c r="L81" s="168"/>
      <c r="M81" s="193"/>
      <c r="N81" s="86" t="s">
        <v>340</v>
      </c>
      <c r="O81" s="140"/>
      <c r="P81" s="102" t="e">
        <f>L81*($P$47-'Data Tables'!K7)</f>
        <v>#VALUE!</v>
      </c>
      <c r="Q81" s="141"/>
      <c r="R81" s="86" t="s">
        <v>190</v>
      </c>
      <c r="S81" s="37"/>
      <c r="T81" s="139"/>
      <c r="U81" s="147"/>
      <c r="V81" s="147"/>
      <c r="W81" s="147"/>
      <c r="X81" s="147"/>
      <c r="Y81" s="147"/>
      <c r="Z81" s="147"/>
    </row>
    <row r="82" spans="2:26" ht="13" x14ac:dyDescent="0.3">
      <c r="B82" s="82"/>
      <c r="C82" s="75"/>
      <c r="D82" s="37"/>
      <c r="E82" s="435" t="s">
        <v>333</v>
      </c>
      <c r="F82" s="435"/>
      <c r="G82" s="435"/>
      <c r="H82" s="435"/>
      <c r="I82" s="435"/>
      <c r="J82" s="303"/>
      <c r="K82" s="303"/>
      <c r="L82" s="168"/>
      <c r="M82" s="193"/>
      <c r="N82" s="86" t="s">
        <v>340</v>
      </c>
      <c r="O82" s="140"/>
      <c r="P82" s="102" t="e">
        <f>L82*($P$47-'Data Tables'!K8)</f>
        <v>#VALUE!</v>
      </c>
      <c r="Q82" s="141"/>
      <c r="R82" s="86" t="s">
        <v>190</v>
      </c>
      <c r="S82" s="37"/>
      <c r="T82" s="139"/>
      <c r="U82" s="147"/>
      <c r="V82" s="147"/>
      <c r="W82" s="147"/>
      <c r="X82" s="147"/>
      <c r="Y82" s="147"/>
      <c r="Z82" s="147"/>
    </row>
    <row r="83" spans="2:26" ht="13" x14ac:dyDescent="0.3">
      <c r="B83" s="82"/>
      <c r="C83" s="75"/>
      <c r="D83" s="37"/>
      <c r="E83" s="435" t="s">
        <v>334</v>
      </c>
      <c r="F83" s="435"/>
      <c r="G83" s="435"/>
      <c r="H83" s="435"/>
      <c r="I83" s="435"/>
      <c r="J83" s="303"/>
      <c r="K83" s="303"/>
      <c r="L83" s="168"/>
      <c r="M83" s="193"/>
      <c r="N83" s="86" t="s">
        <v>340</v>
      </c>
      <c r="O83" s="140"/>
      <c r="P83" s="102" t="e">
        <f>L83*($P$47-'Data Tables'!K6)</f>
        <v>#VALUE!</v>
      </c>
      <c r="Q83" s="141"/>
      <c r="R83" s="86" t="s">
        <v>190</v>
      </c>
      <c r="S83" s="37"/>
      <c r="T83" s="139"/>
      <c r="U83" s="147"/>
      <c r="V83" s="147"/>
      <c r="W83" s="147"/>
      <c r="X83" s="147"/>
      <c r="Y83" s="147"/>
      <c r="Z83" s="147"/>
    </row>
    <row r="84" spans="2:26" ht="30" customHeight="1" x14ac:dyDescent="0.3">
      <c r="B84" s="82"/>
      <c r="C84" s="75"/>
      <c r="D84" s="37"/>
      <c r="E84" s="37"/>
      <c r="F84" s="37"/>
      <c r="G84" s="37"/>
      <c r="H84" s="37"/>
      <c r="I84" s="37"/>
      <c r="J84" s="37"/>
      <c r="K84" s="37"/>
      <c r="L84" s="143"/>
      <c r="M84" s="143"/>
      <c r="N84" s="86"/>
      <c r="O84" s="86"/>
      <c r="P84" s="86"/>
      <c r="Q84" s="86"/>
      <c r="R84" s="86"/>
      <c r="S84" s="37"/>
      <c r="T84" s="139"/>
      <c r="U84" s="147"/>
      <c r="V84" s="147"/>
      <c r="W84" s="147"/>
      <c r="X84" s="147"/>
      <c r="Y84" s="147"/>
      <c r="Z84" s="147"/>
    </row>
    <row r="85" spans="2:26" ht="29.5" customHeight="1" x14ac:dyDescent="0.3">
      <c r="B85" s="82"/>
      <c r="C85" s="75"/>
      <c r="D85" s="37"/>
      <c r="E85" s="37"/>
      <c r="F85" s="402" t="s">
        <v>339</v>
      </c>
      <c r="G85" s="402"/>
      <c r="H85" s="402"/>
      <c r="I85" s="402"/>
      <c r="J85" s="37"/>
      <c r="K85" s="37"/>
      <c r="L85" s="112">
        <f>(SUM(L78:L83))</f>
        <v>0</v>
      </c>
      <c r="M85" s="194"/>
      <c r="N85" s="90" t="s">
        <v>340</v>
      </c>
      <c r="O85" s="90"/>
      <c r="P85" s="100" t="e">
        <f>L10-(SUM(P78:P83))</f>
        <v>#VALUE!</v>
      </c>
      <c r="Q85" s="115"/>
      <c r="R85" s="90" t="s">
        <v>192</v>
      </c>
      <c r="S85" s="37"/>
      <c r="T85" s="139"/>
      <c r="U85" s="147"/>
      <c r="V85" s="147"/>
      <c r="W85" s="147"/>
      <c r="X85" s="147"/>
      <c r="Y85" s="147"/>
      <c r="Z85" s="147"/>
    </row>
    <row r="86" spans="2:26" ht="15" customHeight="1" x14ac:dyDescent="0.3">
      <c r="B86" s="82"/>
      <c r="C86" s="75"/>
      <c r="D86" s="37"/>
      <c r="E86" s="37"/>
      <c r="F86" s="37"/>
      <c r="G86" s="37"/>
      <c r="H86" s="37"/>
      <c r="I86" s="37"/>
      <c r="J86" s="37"/>
      <c r="K86" s="37"/>
      <c r="L86" s="37"/>
      <c r="M86" s="37"/>
      <c r="N86" s="37"/>
      <c r="O86" s="37"/>
      <c r="P86" s="37"/>
      <c r="Q86" s="37"/>
      <c r="R86" s="37"/>
      <c r="S86" s="37"/>
      <c r="T86" s="139"/>
      <c r="U86" s="147"/>
      <c r="V86" s="147"/>
      <c r="W86" s="147"/>
      <c r="X86" s="147"/>
      <c r="Y86" s="147"/>
      <c r="Z86" s="147"/>
    </row>
    <row r="87" spans="2:26" ht="34" customHeight="1" thickBot="1" x14ac:dyDescent="0.35">
      <c r="B87" s="104"/>
      <c r="C87" s="105"/>
      <c r="D87" s="113"/>
      <c r="E87" s="434" t="s">
        <v>485</v>
      </c>
      <c r="F87" s="434"/>
      <c r="G87" s="434"/>
      <c r="H87" s="434"/>
      <c r="I87" s="434"/>
      <c r="J87" s="434"/>
      <c r="K87" s="434"/>
      <c r="L87" s="434"/>
      <c r="M87" s="434"/>
      <c r="N87" s="434"/>
      <c r="O87" s="434"/>
      <c r="P87" s="434"/>
      <c r="Q87" s="434"/>
      <c r="R87" s="434"/>
      <c r="S87" s="434"/>
      <c r="T87" s="144"/>
      <c r="U87" s="147"/>
      <c r="V87" s="147"/>
      <c r="W87" s="147"/>
      <c r="X87" s="147"/>
      <c r="Y87" s="147"/>
      <c r="Z87" s="147"/>
    </row>
    <row r="88" spans="2:26" ht="18" customHeight="1" x14ac:dyDescent="0.3">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96" spans="2:26" x14ac:dyDescent="0.25"/>
    <row r="97" x14ac:dyDescent="0.25"/>
    <row r="98" x14ac:dyDescent="0.25"/>
    <row r="99" x14ac:dyDescent="0.25"/>
    <row r="100" x14ac:dyDescent="0.25"/>
    <row r="101" x14ac:dyDescent="0.25"/>
  </sheetData>
  <sheetProtection sheet="1" objects="1" scenarios="1" selectLockedCells="1"/>
  <mergeCells count="82">
    <mergeCell ref="F3:S3"/>
    <mergeCell ref="E4:S6"/>
    <mergeCell ref="F8:J8"/>
    <mergeCell ref="F13:J13"/>
    <mergeCell ref="L15:M15"/>
    <mergeCell ref="S15:W15"/>
    <mergeCell ref="E25:I25"/>
    <mergeCell ref="S25:W25"/>
    <mergeCell ref="E17:O17"/>
    <mergeCell ref="S17:X17"/>
    <mergeCell ref="F18:J18"/>
    <mergeCell ref="S18:X18"/>
    <mergeCell ref="F20:J20"/>
    <mergeCell ref="S20:W20"/>
    <mergeCell ref="S21:W21"/>
    <mergeCell ref="S22:W22"/>
    <mergeCell ref="R23:Z23"/>
    <mergeCell ref="F24:J24"/>
    <mergeCell ref="S24:W24"/>
    <mergeCell ref="E26:I26"/>
    <mergeCell ref="S26:W26"/>
    <mergeCell ref="E27:I27"/>
    <mergeCell ref="S27:W27"/>
    <mergeCell ref="E28:I28"/>
    <mergeCell ref="S28:W28"/>
    <mergeCell ref="E29:I29"/>
    <mergeCell ref="S29:W29"/>
    <mergeCell ref="E30:I30"/>
    <mergeCell ref="S30:W30"/>
    <mergeCell ref="E31:I31"/>
    <mergeCell ref="S31:W31"/>
    <mergeCell ref="E32:I32"/>
    <mergeCell ref="S32:W32"/>
    <mergeCell ref="E33:I33"/>
    <mergeCell ref="S33:W33"/>
    <mergeCell ref="E34:I34"/>
    <mergeCell ref="S34:W34"/>
    <mergeCell ref="E35:I35"/>
    <mergeCell ref="S35:W35"/>
    <mergeCell ref="E36:I36"/>
    <mergeCell ref="S36:W36"/>
    <mergeCell ref="E37:I37"/>
    <mergeCell ref="S37:W37"/>
    <mergeCell ref="E38:I38"/>
    <mergeCell ref="S38:W38"/>
    <mergeCell ref="E39:I39"/>
    <mergeCell ref="S39:W39"/>
    <mergeCell ref="E40:I40"/>
    <mergeCell ref="S40:W40"/>
    <mergeCell ref="E55:I55"/>
    <mergeCell ref="E41:I41"/>
    <mergeCell ref="S41:W41"/>
    <mergeCell ref="E42:I42"/>
    <mergeCell ref="S42:W42"/>
    <mergeCell ref="E44:I44"/>
    <mergeCell ref="S44:W44"/>
    <mergeCell ref="I47:O47"/>
    <mergeCell ref="F50:J50"/>
    <mergeCell ref="E52:I52"/>
    <mergeCell ref="E53:I53"/>
    <mergeCell ref="E54:I54"/>
    <mergeCell ref="F72:I72"/>
    <mergeCell ref="E56:I56"/>
    <mergeCell ref="E57:I57"/>
    <mergeCell ref="F59:J59"/>
    <mergeCell ref="G60:J60"/>
    <mergeCell ref="E61:S61"/>
    <mergeCell ref="E65:I65"/>
    <mergeCell ref="E66:I66"/>
    <mergeCell ref="E67:I67"/>
    <mergeCell ref="E68:I68"/>
    <mergeCell ref="E69:I69"/>
    <mergeCell ref="E70:I70"/>
    <mergeCell ref="E83:I83"/>
    <mergeCell ref="F85:I85"/>
    <mergeCell ref="E87:S87"/>
    <mergeCell ref="E74:S74"/>
    <mergeCell ref="E78:I78"/>
    <mergeCell ref="E79:I79"/>
    <mergeCell ref="E80:I80"/>
    <mergeCell ref="E81:I81"/>
    <mergeCell ref="E82:I82"/>
  </mergeCells>
  <dataValidations count="3">
    <dataValidation type="list" allowBlank="1" showInputMessage="1" showErrorMessage="1" sqref="X21" xr:uid="{63632E1D-AD79-46C2-B286-141E74F3E445}">
      <formula1>"600-625, 625-650, 650-675, 675-700, 700-750, 750-800, 800-850, 850-900"</formula1>
    </dataValidation>
    <dataValidation type="list" allowBlank="1" showInputMessage="1" showErrorMessage="1" sqref="X20" xr:uid="{A17DDBEC-7F94-4B95-99FB-B10EEAD31A50}">
      <formula1>"Freely draining, Impermeable - drained for arable, Impermeable - drained for arable and grassland"</formula1>
    </dataValidation>
    <dataValidation type="list" allowBlank="1" showInputMessage="1" showErrorMessage="1" sqref="X15 N20 L15:M15 X22 X25:X42 N25:N42" xr:uid="{DE4DCE5D-DDBC-49E3-ABF1-354E5ADFBF0C}">
      <formula1>"Yes,No"</formula1>
    </dataValidation>
  </dataValidations>
  <pageMargins left="0.70866141732283472" right="0.70866141732283472" top="0.74803149606299213" bottom="0.74803149606299213" header="0.31496062992125984" footer="0.31496062992125984"/>
  <pageSetup paperSize="9" scale="33" orientation="landscape" r:id="rId1"/>
  <headerFooter>
    <oddHeader>&amp;LPhosphate Budget Calculator&amp;CStage 7&amp;R&amp;"Calibri"&amp;10&amp;KFF8C00Information Classification: CONTROLLED&amp;1#</oddHeader>
    <oddFooter>&amp;LVersion 1.0&amp;R&amp;D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27EF-4E6B-4608-86C2-DC5C97FBA4A0}">
  <sheetPr>
    <tabColor theme="8" tint="0.79998168889431442"/>
    <pageSetUpPr fitToPage="1"/>
  </sheetPr>
  <dimension ref="B1:AX101"/>
  <sheetViews>
    <sheetView topLeftCell="A2" zoomScaleNormal="100" workbookViewId="0">
      <selection activeCell="L15" sqref="L15:M15"/>
    </sheetView>
  </sheetViews>
  <sheetFormatPr defaultColWidth="8.7265625" defaultRowHeight="12.5" zeroHeight="1" x14ac:dyDescent="0.25"/>
  <cols>
    <col min="2" max="3" width="0.81640625" customWidth="1"/>
    <col min="4" max="4" width="2.26953125" customWidth="1"/>
    <col min="5" max="5" width="10" customWidth="1"/>
    <col min="7" max="7" width="10" customWidth="1"/>
    <col min="8" max="8" width="10.26953125" customWidth="1"/>
    <col min="9" max="9" width="14" customWidth="1"/>
    <col min="10" max="10" width="13.54296875" customWidth="1"/>
    <col min="11" max="11" width="9.54296875" customWidth="1"/>
    <col min="12" max="12" width="11.7265625" customWidth="1"/>
    <col min="13" max="13" width="2.26953125" customWidth="1"/>
    <col min="14" max="14" width="10.54296875" customWidth="1"/>
    <col min="15" max="15" width="11.1796875" customWidth="1"/>
    <col min="16" max="16" width="10.54296875" customWidth="1"/>
    <col min="17" max="17" width="2.26953125" customWidth="1"/>
    <col min="18" max="18" width="10.1796875" customWidth="1"/>
    <col min="19" max="19" width="5.453125" customWidth="1"/>
    <col min="20" max="20" width="0.81640625" customWidth="1"/>
    <col min="21" max="21" width="12.26953125" customWidth="1"/>
    <col min="23" max="23" width="25.54296875" customWidth="1"/>
    <col min="24" max="24" width="18.1796875" customWidth="1"/>
    <col min="25" max="25" width="10.1796875" hidden="1" customWidth="1"/>
    <col min="26" max="26" width="3.1796875" customWidth="1"/>
    <col min="31" max="31" width="8.7265625" customWidth="1"/>
  </cols>
  <sheetData>
    <row r="1" spans="2:26" ht="13" hidden="1" thickBot="1" x14ac:dyDescent="0.3"/>
    <row r="2" spans="2:26" ht="9" customHeight="1" x14ac:dyDescent="0.3">
      <c r="B2" s="79"/>
      <c r="C2" s="80"/>
      <c r="D2" s="80"/>
      <c r="E2" s="80"/>
      <c r="F2" s="80"/>
      <c r="G2" s="80"/>
      <c r="H2" s="80"/>
      <c r="I2" s="80"/>
      <c r="J2" s="80"/>
      <c r="K2" s="80"/>
      <c r="L2" s="80"/>
      <c r="M2" s="80"/>
      <c r="N2" s="80"/>
      <c r="O2" s="80"/>
      <c r="P2" s="80"/>
      <c r="Q2" s="80"/>
      <c r="R2" s="80"/>
      <c r="S2" s="80"/>
      <c r="T2" s="81"/>
      <c r="U2" s="78"/>
      <c r="V2" s="78"/>
      <c r="W2" s="78"/>
      <c r="X2" s="78"/>
      <c r="Y2" s="78"/>
      <c r="Z2" s="78"/>
    </row>
    <row r="3" spans="2:26" ht="28.5" customHeight="1" x14ac:dyDescent="0.3">
      <c r="B3" s="82"/>
      <c r="C3" s="39"/>
      <c r="D3" s="108"/>
      <c r="E3" s="285" t="s">
        <v>342</v>
      </c>
      <c r="F3" s="411" t="s">
        <v>313</v>
      </c>
      <c r="G3" s="411"/>
      <c r="H3" s="411"/>
      <c r="I3" s="411"/>
      <c r="J3" s="411"/>
      <c r="K3" s="411"/>
      <c r="L3" s="411"/>
      <c r="M3" s="411"/>
      <c r="N3" s="411"/>
      <c r="O3" s="411"/>
      <c r="P3" s="411"/>
      <c r="Q3" s="411"/>
      <c r="R3" s="411"/>
      <c r="S3" s="411"/>
      <c r="T3" s="83"/>
      <c r="U3" s="78"/>
      <c r="V3" s="78"/>
      <c r="W3" s="78"/>
      <c r="X3" s="78"/>
      <c r="Y3" s="78"/>
      <c r="Z3" s="78"/>
    </row>
    <row r="4" spans="2:26" ht="6.75" customHeight="1" x14ac:dyDescent="0.3">
      <c r="B4" s="82"/>
      <c r="C4" s="109"/>
      <c r="D4" s="109"/>
      <c r="E4" s="405" t="s">
        <v>489</v>
      </c>
      <c r="F4" s="405"/>
      <c r="G4" s="405"/>
      <c r="H4" s="405"/>
      <c r="I4" s="405"/>
      <c r="J4" s="405"/>
      <c r="K4" s="405"/>
      <c r="L4" s="405"/>
      <c r="M4" s="405"/>
      <c r="N4" s="405"/>
      <c r="O4" s="405"/>
      <c r="P4" s="405"/>
      <c r="Q4" s="405"/>
      <c r="R4" s="405"/>
      <c r="S4" s="405"/>
      <c r="T4" s="83"/>
      <c r="U4" s="78"/>
      <c r="V4" s="78"/>
      <c r="W4" s="78"/>
      <c r="X4" s="78"/>
      <c r="Y4" s="78"/>
      <c r="Z4" s="78"/>
    </row>
    <row r="5" spans="2:26" ht="6.75" customHeight="1" x14ac:dyDescent="0.3">
      <c r="B5" s="82"/>
      <c r="C5" s="109"/>
      <c r="D5" s="109"/>
      <c r="E5" s="405"/>
      <c r="F5" s="405"/>
      <c r="G5" s="405"/>
      <c r="H5" s="405"/>
      <c r="I5" s="405"/>
      <c r="J5" s="405"/>
      <c r="K5" s="405"/>
      <c r="L5" s="405"/>
      <c r="M5" s="405"/>
      <c r="N5" s="405"/>
      <c r="O5" s="405"/>
      <c r="P5" s="405"/>
      <c r="Q5" s="405"/>
      <c r="R5" s="405"/>
      <c r="S5" s="405"/>
      <c r="T5" s="83"/>
      <c r="U5" s="78"/>
      <c r="V5" s="78"/>
      <c r="W5" s="78"/>
      <c r="X5" s="78"/>
      <c r="Y5" s="78"/>
      <c r="Z5" s="78"/>
    </row>
    <row r="6" spans="2:26" ht="24.75" customHeight="1" x14ac:dyDescent="0.3">
      <c r="B6" s="82"/>
      <c r="C6" s="75"/>
      <c r="D6" s="75"/>
      <c r="E6" s="405"/>
      <c r="F6" s="405"/>
      <c r="G6" s="405"/>
      <c r="H6" s="405"/>
      <c r="I6" s="405"/>
      <c r="J6" s="405"/>
      <c r="K6" s="405"/>
      <c r="L6" s="405"/>
      <c r="M6" s="405"/>
      <c r="N6" s="405"/>
      <c r="O6" s="405"/>
      <c r="P6" s="405"/>
      <c r="Q6" s="405"/>
      <c r="R6" s="405"/>
      <c r="S6" s="405"/>
      <c r="T6" s="83"/>
      <c r="U6" s="78"/>
      <c r="V6" s="78"/>
      <c r="W6" s="78"/>
      <c r="X6" s="78"/>
      <c r="Y6" s="78"/>
      <c r="Z6" s="78"/>
    </row>
    <row r="7" spans="2:26" ht="21" customHeight="1" x14ac:dyDescent="0.3">
      <c r="B7" s="82"/>
      <c r="C7" s="75"/>
      <c r="D7" s="107"/>
      <c r="E7" s="110"/>
      <c r="F7" s="110"/>
      <c r="G7" s="110"/>
      <c r="H7" s="110"/>
      <c r="I7" s="110"/>
      <c r="J7" s="110"/>
      <c r="K7" s="110"/>
      <c r="L7" s="110"/>
      <c r="M7" s="110"/>
      <c r="N7" s="110"/>
      <c r="O7" s="110"/>
      <c r="P7" s="110"/>
      <c r="Q7" s="110"/>
      <c r="R7" s="110"/>
      <c r="S7" s="110"/>
      <c r="T7" s="83"/>
      <c r="U7" s="78"/>
      <c r="V7" s="78"/>
      <c r="W7" s="78"/>
      <c r="X7" s="78"/>
      <c r="Y7" s="78"/>
      <c r="Z7" s="78"/>
    </row>
    <row r="8" spans="2:26" ht="37.5" customHeight="1" x14ac:dyDescent="0.35">
      <c r="B8" s="82"/>
      <c r="C8" s="111"/>
      <c r="D8" s="111"/>
      <c r="E8" s="85" t="s">
        <v>142</v>
      </c>
      <c r="F8" s="401" t="s">
        <v>315</v>
      </c>
      <c r="G8" s="401"/>
      <c r="H8" s="401"/>
      <c r="I8" s="401"/>
      <c r="J8" s="401"/>
      <c r="K8" s="295"/>
      <c r="L8" s="303" t="s">
        <v>144</v>
      </c>
      <c r="M8" s="303"/>
      <c r="N8" s="5"/>
      <c r="O8" s="303"/>
      <c r="P8" s="303"/>
      <c r="Q8" s="303"/>
      <c r="R8" s="303"/>
      <c r="S8" s="37"/>
      <c r="T8" s="83"/>
      <c r="U8" s="78"/>
      <c r="V8" s="78"/>
      <c r="W8" s="78"/>
      <c r="X8" s="78"/>
      <c r="Y8" s="78"/>
      <c r="Z8" s="78"/>
    </row>
    <row r="9" spans="2:26" ht="4.5" customHeight="1" x14ac:dyDescent="0.3">
      <c r="B9" s="82"/>
      <c r="C9" s="75"/>
      <c r="D9" s="75"/>
      <c r="E9" s="37"/>
      <c r="F9" s="37"/>
      <c r="G9" s="37"/>
      <c r="H9" s="37"/>
      <c r="I9" s="37"/>
      <c r="J9" s="37"/>
      <c r="K9" s="37"/>
      <c r="L9" s="37"/>
      <c r="M9" s="37"/>
      <c r="N9" s="5"/>
      <c r="O9" s="37"/>
      <c r="P9" s="37"/>
      <c r="Q9" s="37"/>
      <c r="R9" s="37"/>
      <c r="S9" s="37"/>
      <c r="T9" s="83"/>
      <c r="U9" s="78"/>
      <c r="V9" s="78"/>
      <c r="W9" s="78"/>
      <c r="X9" s="78"/>
      <c r="Y9" s="78"/>
      <c r="Z9" s="78"/>
    </row>
    <row r="10" spans="2:26" ht="31" customHeight="1" x14ac:dyDescent="0.3">
      <c r="B10" s="82"/>
      <c r="C10" s="75"/>
      <c r="D10" s="75"/>
      <c r="E10" s="37"/>
      <c r="F10" s="38" t="s">
        <v>316</v>
      </c>
      <c r="G10" s="37"/>
      <c r="H10" s="37"/>
      <c r="I10" s="37"/>
      <c r="J10" s="37"/>
      <c r="K10" s="37"/>
      <c r="L10" s="100">
        <f>IF('Stage 4'!O37&gt;0, 'Stage 4'!O37,0)</f>
        <v>0</v>
      </c>
      <c r="M10" s="115"/>
      <c r="N10" s="5"/>
      <c r="O10" s="90"/>
      <c r="P10" s="90"/>
      <c r="Q10" s="90"/>
      <c r="R10" s="90"/>
      <c r="S10" s="37"/>
      <c r="T10" s="83"/>
      <c r="U10" s="78"/>
      <c r="V10" s="78"/>
      <c r="W10" s="78"/>
      <c r="X10" s="78"/>
      <c r="Y10" s="78"/>
      <c r="Z10" s="78"/>
    </row>
    <row r="11" spans="2:26" ht="17.5" customHeight="1" thickBot="1" x14ac:dyDescent="0.35">
      <c r="B11" s="82"/>
      <c r="C11" s="75"/>
      <c r="D11" s="75"/>
      <c r="E11" s="37"/>
      <c r="F11" s="37"/>
      <c r="G11" s="37"/>
      <c r="H11" s="37"/>
      <c r="I11" s="37"/>
      <c r="J11" s="37"/>
      <c r="K11" s="37"/>
      <c r="L11" s="37"/>
      <c r="M11" s="37"/>
      <c r="N11" s="37"/>
      <c r="O11" s="37"/>
      <c r="P11" s="37"/>
      <c r="Q11" s="37"/>
      <c r="R11" s="97"/>
      <c r="S11" s="97"/>
      <c r="T11" s="83"/>
      <c r="U11" s="146"/>
      <c r="V11" s="91"/>
      <c r="W11" s="91"/>
      <c r="X11" s="91"/>
      <c r="Y11" s="91"/>
      <c r="Z11" s="91"/>
    </row>
    <row r="12" spans="2:26" ht="7" customHeight="1" x14ac:dyDescent="0.3">
      <c r="B12" s="82"/>
      <c r="C12" s="75"/>
      <c r="D12" s="107"/>
      <c r="E12" s="101"/>
      <c r="F12" s="101"/>
      <c r="G12" s="101"/>
      <c r="H12" s="101"/>
      <c r="I12" s="101"/>
      <c r="J12" s="101"/>
      <c r="K12" s="101"/>
      <c r="L12" s="101"/>
      <c r="M12" s="101"/>
      <c r="N12" s="101"/>
      <c r="O12" s="101"/>
      <c r="P12" s="101"/>
      <c r="Q12" s="101"/>
      <c r="R12" s="37"/>
      <c r="S12" s="37"/>
      <c r="T12" s="75"/>
      <c r="U12" s="75"/>
      <c r="V12" s="75"/>
      <c r="W12" s="75"/>
      <c r="X12" s="75"/>
      <c r="Y12" s="75"/>
      <c r="Z12" s="133"/>
    </row>
    <row r="13" spans="2:26" ht="16" customHeight="1" x14ac:dyDescent="0.3">
      <c r="B13" s="82"/>
      <c r="C13" s="75"/>
      <c r="D13" s="75"/>
      <c r="E13" s="85" t="s">
        <v>158</v>
      </c>
      <c r="F13" s="401" t="s">
        <v>317</v>
      </c>
      <c r="G13" s="401"/>
      <c r="H13" s="401"/>
      <c r="I13" s="401"/>
      <c r="J13" s="401"/>
      <c r="K13" s="295"/>
      <c r="L13" s="37"/>
      <c r="M13" s="37"/>
      <c r="N13" s="37"/>
      <c r="O13" s="37"/>
      <c r="P13" s="37"/>
      <c r="Q13" s="37"/>
      <c r="R13" s="37"/>
      <c r="S13" s="37"/>
      <c r="T13" s="37"/>
      <c r="U13" s="37"/>
      <c r="V13" s="37"/>
      <c r="W13" s="37"/>
      <c r="X13" s="37"/>
      <c r="Y13" s="37"/>
      <c r="Z13" s="134"/>
    </row>
    <row r="14" spans="2:26" ht="10.5" customHeight="1" x14ac:dyDescent="0.3">
      <c r="B14" s="82"/>
      <c r="C14" s="75"/>
      <c r="D14" s="75"/>
      <c r="E14" s="37"/>
      <c r="F14" s="37"/>
      <c r="G14" s="37"/>
      <c r="H14" s="37"/>
      <c r="I14" s="37"/>
      <c r="J14" s="37"/>
      <c r="K14" s="37"/>
      <c r="L14" s="37"/>
      <c r="M14" s="37"/>
      <c r="N14" s="37"/>
      <c r="O14" s="37"/>
      <c r="P14" s="96"/>
      <c r="Q14" s="37"/>
      <c r="R14" s="37"/>
      <c r="S14" s="37"/>
      <c r="T14" s="37"/>
      <c r="U14" s="37"/>
      <c r="V14" s="37"/>
      <c r="W14" s="37"/>
      <c r="X14" s="98"/>
      <c r="Y14" s="37"/>
      <c r="Z14" s="134"/>
    </row>
    <row r="15" spans="2:26" ht="14.5" customHeight="1" x14ac:dyDescent="0.3">
      <c r="B15" s="82"/>
      <c r="C15" s="75"/>
      <c r="D15" s="75"/>
      <c r="E15" s="135" t="s">
        <v>318</v>
      </c>
      <c r="F15" s="99" t="s">
        <v>319</v>
      </c>
      <c r="G15" s="37"/>
      <c r="H15" s="37"/>
      <c r="I15" s="37"/>
      <c r="J15" s="37"/>
      <c r="K15" s="37"/>
      <c r="L15" s="438" t="s">
        <v>206</v>
      </c>
      <c r="M15" s="438"/>
      <c r="N15" s="98"/>
      <c r="O15" s="37"/>
      <c r="P15" s="96"/>
      <c r="Q15" s="37"/>
      <c r="R15" s="136"/>
      <c r="S15" s="401" t="s">
        <v>320</v>
      </c>
      <c r="T15" s="401"/>
      <c r="U15" s="401"/>
      <c r="V15" s="401"/>
      <c r="W15" s="401"/>
      <c r="X15" s="306" t="s">
        <v>206</v>
      </c>
      <c r="Y15" s="37"/>
      <c r="Z15" s="134"/>
    </row>
    <row r="16" spans="2:26" ht="14.5" customHeight="1" x14ac:dyDescent="0.3">
      <c r="B16" s="82"/>
      <c r="C16" s="75"/>
      <c r="D16" s="75"/>
      <c r="E16" s="37"/>
      <c r="F16" s="37"/>
      <c r="G16" s="37"/>
      <c r="H16" s="37"/>
      <c r="I16" s="37"/>
      <c r="J16" s="37"/>
      <c r="K16" s="37"/>
      <c r="L16" s="37"/>
      <c r="M16" s="37"/>
      <c r="N16" s="37"/>
      <c r="O16" s="37"/>
      <c r="P16" s="96"/>
      <c r="Q16" s="37"/>
      <c r="R16" s="37"/>
      <c r="S16" s="37"/>
      <c r="T16" s="37"/>
      <c r="U16" s="37"/>
      <c r="V16" s="37"/>
      <c r="W16" s="37"/>
      <c r="X16" s="37"/>
      <c r="Y16" s="37"/>
      <c r="Z16" s="134"/>
    </row>
    <row r="17" spans="2:50" ht="45" customHeight="1" x14ac:dyDescent="0.3">
      <c r="B17" s="82"/>
      <c r="C17" s="75"/>
      <c r="D17" s="75"/>
      <c r="E17" s="436" t="s">
        <v>321</v>
      </c>
      <c r="F17" s="436"/>
      <c r="G17" s="436"/>
      <c r="H17" s="436"/>
      <c r="I17" s="436"/>
      <c r="J17" s="436"/>
      <c r="K17" s="436"/>
      <c r="L17" s="436"/>
      <c r="M17" s="436"/>
      <c r="N17" s="436"/>
      <c r="O17" s="436"/>
      <c r="P17" s="96"/>
      <c r="Q17" s="37"/>
      <c r="R17" s="37"/>
      <c r="S17" s="436" t="s">
        <v>322</v>
      </c>
      <c r="T17" s="436"/>
      <c r="U17" s="436"/>
      <c r="V17" s="436"/>
      <c r="W17" s="436"/>
      <c r="X17" s="436"/>
      <c r="Y17" s="304"/>
      <c r="Z17" s="134"/>
      <c r="AB17" s="13"/>
    </row>
    <row r="18" spans="2:50" ht="16" customHeight="1" x14ac:dyDescent="0.3">
      <c r="B18" s="82"/>
      <c r="C18" s="75"/>
      <c r="D18" s="75"/>
      <c r="E18" s="98"/>
      <c r="F18" s="401" t="s">
        <v>323</v>
      </c>
      <c r="G18" s="401"/>
      <c r="H18" s="401"/>
      <c r="I18" s="401"/>
      <c r="J18" s="401"/>
      <c r="K18" s="295"/>
      <c r="L18" s="303" t="s">
        <v>144</v>
      </c>
      <c r="M18" s="303"/>
      <c r="N18" s="98"/>
      <c r="O18" s="303" t="s">
        <v>145</v>
      </c>
      <c r="P18" s="96"/>
      <c r="Q18" s="37"/>
      <c r="R18" s="37"/>
      <c r="S18" s="401" t="s">
        <v>324</v>
      </c>
      <c r="T18" s="401"/>
      <c r="U18" s="401"/>
      <c r="V18" s="401"/>
      <c r="W18" s="401"/>
      <c r="X18" s="401"/>
      <c r="Y18" s="295"/>
      <c r="Z18" s="134"/>
    </row>
    <row r="19" spans="2:50" ht="13.5" customHeight="1" x14ac:dyDescent="0.3">
      <c r="B19" s="82"/>
      <c r="C19" s="75"/>
      <c r="D19" s="75"/>
      <c r="E19" s="37"/>
      <c r="F19" s="37"/>
      <c r="G19" s="37"/>
      <c r="H19" s="37"/>
      <c r="I19" s="37"/>
      <c r="J19" s="37"/>
      <c r="K19" s="37"/>
      <c r="L19" s="303"/>
      <c r="M19" s="303"/>
      <c r="N19" s="37"/>
      <c r="O19" s="37"/>
      <c r="P19" s="96"/>
      <c r="Q19" s="37"/>
      <c r="R19" s="37"/>
      <c r="S19" s="210"/>
      <c r="T19" s="210"/>
      <c r="U19" s="210"/>
      <c r="V19" s="210"/>
      <c r="W19" s="210"/>
      <c r="X19" s="210"/>
      <c r="Y19" s="37"/>
      <c r="Z19" s="134"/>
    </row>
    <row r="20" spans="2:50" ht="42.75" customHeight="1" x14ac:dyDescent="0.3">
      <c r="B20" s="82"/>
      <c r="C20" s="75"/>
      <c r="D20" s="75"/>
      <c r="E20" s="37"/>
      <c r="F20" s="402" t="s">
        <v>325</v>
      </c>
      <c r="G20" s="402"/>
      <c r="H20" s="402"/>
      <c r="I20" s="402"/>
      <c r="J20" s="402"/>
      <c r="K20" s="298"/>
      <c r="L20" s="100" t="e">
        <f>'Stage 2'!K42/'Stage 2'!K37</f>
        <v>#DIV/0!</v>
      </c>
      <c r="M20" s="115"/>
      <c r="N20" s="306" t="s">
        <v>206</v>
      </c>
      <c r="O20" s="90" t="s">
        <v>232</v>
      </c>
      <c r="P20" s="96"/>
      <c r="Q20" s="37"/>
      <c r="R20" s="85"/>
      <c r="S20" s="400" t="s">
        <v>201</v>
      </c>
      <c r="T20" s="400"/>
      <c r="U20" s="400"/>
      <c r="V20" s="400"/>
      <c r="W20" s="400"/>
      <c r="X20" s="160" t="s">
        <v>341</v>
      </c>
      <c r="Y20" s="295"/>
      <c r="Z20" s="134"/>
      <c r="AB20" s="13"/>
      <c r="AC20" s="13"/>
    </row>
    <row r="21" spans="2:50" ht="19.5" customHeight="1" x14ac:dyDescent="0.3">
      <c r="B21" s="82"/>
      <c r="C21" s="75"/>
      <c r="D21" s="75"/>
      <c r="E21" s="37"/>
      <c r="F21" s="298"/>
      <c r="G21" s="298"/>
      <c r="H21" s="298"/>
      <c r="I21" s="298"/>
      <c r="J21" s="298"/>
      <c r="K21" s="298"/>
      <c r="L21" s="115"/>
      <c r="M21" s="115"/>
      <c r="N21" s="172"/>
      <c r="O21" s="90"/>
      <c r="P21" s="96"/>
      <c r="Q21" s="37"/>
      <c r="R21" s="85"/>
      <c r="S21" s="400" t="s">
        <v>202</v>
      </c>
      <c r="T21" s="400"/>
      <c r="U21" s="400"/>
      <c r="V21" s="400"/>
      <c r="W21" s="400"/>
      <c r="X21" s="306" t="s">
        <v>203</v>
      </c>
      <c r="Y21" s="295"/>
      <c r="Z21" s="134"/>
      <c r="AA21" s="269"/>
      <c r="AB21" s="13"/>
      <c r="AC21" s="13"/>
    </row>
    <row r="22" spans="2:50" ht="21.75" customHeight="1" x14ac:dyDescent="0.3">
      <c r="B22" s="82"/>
      <c r="C22" s="75"/>
      <c r="D22" s="75"/>
      <c r="E22" s="37"/>
      <c r="F22" s="298"/>
      <c r="G22" s="298"/>
      <c r="H22" s="298"/>
      <c r="I22" s="298"/>
      <c r="J22" s="298"/>
      <c r="K22" s="298"/>
      <c r="M22" s="115"/>
      <c r="N22" s="172"/>
      <c r="O22" s="90"/>
      <c r="P22" s="96"/>
      <c r="Q22" s="37"/>
      <c r="R22" s="85"/>
      <c r="S22" s="400" t="s">
        <v>205</v>
      </c>
      <c r="T22" s="400"/>
      <c r="U22" s="400"/>
      <c r="V22" s="400"/>
      <c r="W22" s="400"/>
      <c r="X22" s="306" t="s">
        <v>166</v>
      </c>
      <c r="Y22" s="295"/>
      <c r="Z22" s="134"/>
      <c r="AA22" s="269"/>
      <c r="AB22" s="13"/>
      <c r="AC22" s="13"/>
    </row>
    <row r="23" spans="2:50" ht="14.5" customHeight="1" x14ac:dyDescent="0.3">
      <c r="B23" s="82"/>
      <c r="C23" s="75"/>
      <c r="D23" s="75"/>
      <c r="E23" s="37"/>
      <c r="F23" s="38"/>
      <c r="G23" s="37"/>
      <c r="H23" s="37"/>
      <c r="I23" s="37"/>
      <c r="J23" s="37"/>
      <c r="K23" s="37"/>
      <c r="L23" s="115"/>
      <c r="M23" s="115"/>
      <c r="N23" s="303"/>
      <c r="O23" s="90"/>
      <c r="P23" s="96"/>
      <c r="Q23" s="37"/>
      <c r="R23" s="439"/>
      <c r="S23" s="439"/>
      <c r="T23" s="439"/>
      <c r="U23" s="439"/>
      <c r="V23" s="439"/>
      <c r="W23" s="439"/>
      <c r="X23" s="439"/>
      <c r="Y23" s="439"/>
      <c r="Z23" s="440"/>
      <c r="AA23" s="269"/>
    </row>
    <row r="24" spans="2:50" ht="24" customHeight="1" x14ac:dyDescent="0.3">
      <c r="B24" s="82"/>
      <c r="C24" s="75"/>
      <c r="D24" s="75"/>
      <c r="E24" s="37"/>
      <c r="F24" s="402" t="s">
        <v>326</v>
      </c>
      <c r="G24" s="402"/>
      <c r="H24" s="402"/>
      <c r="I24" s="402"/>
      <c r="J24" s="402"/>
      <c r="K24" s="318"/>
      <c r="L24" s="303"/>
      <c r="M24" s="303"/>
      <c r="N24" s="37"/>
      <c r="O24" s="90"/>
      <c r="P24" s="96"/>
      <c r="Q24" s="37"/>
      <c r="R24" s="37"/>
      <c r="S24" s="402" t="s">
        <v>327</v>
      </c>
      <c r="T24" s="402"/>
      <c r="U24" s="402"/>
      <c r="V24" s="402"/>
      <c r="W24" s="402"/>
      <c r="X24" s="37"/>
      <c r="Y24" s="305" t="s">
        <v>211</v>
      </c>
      <c r="Z24" s="134"/>
      <c r="AM24" s="199"/>
    </row>
    <row r="25" spans="2:50" ht="16" customHeight="1" x14ac:dyDescent="0.3">
      <c r="B25" s="82"/>
      <c r="C25" s="75"/>
      <c r="D25" s="75"/>
      <c r="E25" s="435" t="str">
        <f>'Stage 2'!F18</f>
        <v>High density urban</v>
      </c>
      <c r="F25" s="435"/>
      <c r="G25" s="435"/>
      <c r="H25" s="435"/>
      <c r="I25" s="435"/>
      <c r="J25" s="37"/>
      <c r="K25" s="210"/>
      <c r="L25" s="196" t="str">
        <f>IF('Stage 2'!$K18&gt;0,'Stage 2'!O23/'Stage 2'!$K18,"")</f>
        <v/>
      </c>
      <c r="M25" s="115"/>
      <c r="N25" s="306" t="s">
        <v>206</v>
      </c>
      <c r="O25" s="86" t="s">
        <v>232</v>
      </c>
      <c r="P25" s="96"/>
      <c r="Q25" s="37"/>
      <c r="R25" s="37"/>
      <c r="S25" s="435" t="str">
        <f t="shared" ref="S25:S42" si="0">E25</f>
        <v>High density urban</v>
      </c>
      <c r="T25" s="435"/>
      <c r="U25" s="435"/>
      <c r="V25" s="435"/>
      <c r="W25" s="435"/>
      <c r="X25" s="306" t="s">
        <v>206</v>
      </c>
      <c r="Y25" s="171" t="str">
        <f>IF($X$15="Yes",IF($X$25="Yes",IF($X$21="600-625",'Data Tables'!AE4,IF($X$21="625-650",'Data Tables'!AE5,IF($X$21="650-675",'Data Tables'!AE6,IF($X$21="675-700",'Data Tables'!AE7,IF($X$21="700-750",'Data Tables'!AE8,IF($X$21="750-800",'Data Tables'!AE9,IF($X$21="800-850",'Data Tables'!AE10,'Data Tables'!AE11))))))),0),"")</f>
        <v/>
      </c>
      <c r="Z25" s="134"/>
      <c r="AL25" s="199"/>
      <c r="AN25" s="199"/>
    </row>
    <row r="26" spans="2:50" ht="16" customHeight="1" x14ac:dyDescent="0.3">
      <c r="B26" s="82"/>
      <c r="C26" s="75"/>
      <c r="D26" s="75"/>
      <c r="E26" s="435" t="str">
        <f>'Stage 2'!F19</f>
        <v>Medium density urban</v>
      </c>
      <c r="F26" s="435"/>
      <c r="G26" s="435"/>
      <c r="H26" s="435"/>
      <c r="I26" s="435"/>
      <c r="J26" s="37"/>
      <c r="K26" s="210"/>
      <c r="L26" s="196" t="str">
        <f>IF('Stage 2'!$K19&gt;0,'Stage 2'!O24/'Stage 2'!$K19,"")</f>
        <v/>
      </c>
      <c r="M26" s="115"/>
      <c r="N26" s="306" t="s">
        <v>206</v>
      </c>
      <c r="O26" s="86" t="s">
        <v>232</v>
      </c>
      <c r="P26" s="96"/>
      <c r="Q26" s="37"/>
      <c r="R26" s="37"/>
      <c r="S26" s="435" t="str">
        <f t="shared" si="0"/>
        <v>Medium density urban</v>
      </c>
      <c r="T26" s="435"/>
      <c r="U26" s="435"/>
      <c r="V26" s="435"/>
      <c r="W26" s="435"/>
      <c r="X26" s="306" t="s">
        <v>206</v>
      </c>
      <c r="Y26" s="171" t="str">
        <f>IF($X$15="Yes",IF($X$26="Yes",IF($X$21="600-625",'Data Tables'!AF4,IF($X$21="625-650",'Data Tables'!AF5,IF($X$21="650-675",'Data Tables'!AF6,IF($X$21="675-700",'Data Tables'!AF7,IF($X$21="700-750",'Data Tables'!AF8,IF($X$21="750-800",'Data Tables'!AF9,IF($X$21="800-850",'Data Tables'!AF10,'Data Tables'!AF11))))))),0),"")</f>
        <v/>
      </c>
      <c r="Z26" s="134"/>
    </row>
    <row r="27" spans="2:50" ht="16" customHeight="1" x14ac:dyDescent="0.3">
      <c r="B27" s="82"/>
      <c r="C27" s="75"/>
      <c r="D27" s="75"/>
      <c r="E27" s="435" t="str">
        <f>'Stage 2'!F20</f>
        <v>Low density urban</v>
      </c>
      <c r="F27" s="435"/>
      <c r="G27" s="435"/>
      <c r="H27" s="435"/>
      <c r="I27" s="435"/>
      <c r="J27" s="37"/>
      <c r="K27" s="210"/>
      <c r="L27" s="196" t="str">
        <f>IF('Stage 2'!$K20&gt;0,'Stage 2'!O25/'Stage 2'!$K20,"")</f>
        <v/>
      </c>
      <c r="M27" s="115"/>
      <c r="N27" s="306" t="s">
        <v>206</v>
      </c>
      <c r="O27" s="86" t="s">
        <v>232</v>
      </c>
      <c r="P27" s="96"/>
      <c r="Q27" s="37"/>
      <c r="R27" s="37"/>
      <c r="S27" s="435" t="str">
        <f t="shared" si="0"/>
        <v>Low density urban</v>
      </c>
      <c r="T27" s="435"/>
      <c r="U27" s="435"/>
      <c r="V27" s="435"/>
      <c r="W27" s="435"/>
      <c r="X27" s="306" t="s">
        <v>206</v>
      </c>
      <c r="Y27" s="171" t="str">
        <f>IF($X$15="Yes",IF($X$27="Yes",IF($X$21="600-625",'Data Tables'!AG4,IF($X$21="625-650",'Data Tables'!AG5,IF($X$21="650-675",'Data Tables'!AG6,IF($X$21="675-700",'Data Tables'!AG7,IF($X$21="700-750",'Data Tables'!AG8,IF($X$21="750-800",'Data Tables'!AG9,IF($X$21="800-850",'Data Tables'!AG10,'Data Tables'!AG11))))))),0),"")</f>
        <v/>
      </c>
      <c r="Z27" s="134"/>
    </row>
    <row r="28" spans="2:50" ht="16" customHeight="1" x14ac:dyDescent="0.3">
      <c r="B28" s="82"/>
      <c r="C28" s="75"/>
      <c r="D28" s="75"/>
      <c r="E28" s="435" t="str">
        <f>'Stage 2'!F21</f>
        <v>Commercial / Industrial</v>
      </c>
      <c r="F28" s="435"/>
      <c r="G28" s="435"/>
      <c r="H28" s="435"/>
      <c r="I28" s="435"/>
      <c r="J28" s="37"/>
      <c r="K28" s="210"/>
      <c r="L28" s="196" t="str">
        <f>IF('Stage 2'!$K21&gt;0,'Stage 2'!O26/'Stage 2'!$K21,"")</f>
        <v/>
      </c>
      <c r="M28" s="115"/>
      <c r="N28" s="306" t="s">
        <v>206</v>
      </c>
      <c r="O28" s="86" t="s">
        <v>232</v>
      </c>
      <c r="P28" s="96"/>
      <c r="Q28" s="37"/>
      <c r="R28" s="37"/>
      <c r="S28" s="435" t="str">
        <f t="shared" si="0"/>
        <v>Commercial / Industrial</v>
      </c>
      <c r="T28" s="435"/>
      <c r="U28" s="435"/>
      <c r="V28" s="435"/>
      <c r="W28" s="435"/>
      <c r="X28" s="306" t="s">
        <v>206</v>
      </c>
      <c r="Y28" s="171" t="str">
        <f>IF($X$15="Yes",IF($X$28="Yes",IF($X$21="600-625",'Data Tables'!AH4,IF($X$21="625-650",'Data Tables'!AH5,IF($X$21="650-675",'Data Tables'!AH6,IF($X$21="675-700",'Data Tables'!AH7,IF($X$21="700-750",'Data Tables'!AH8,IF($X$21="750-800",'Data Tables'!AH9,IF($X$21="800-850",'Data Tables'!AH10,'Data Tables'!AH11))))))),0),"")</f>
        <v/>
      </c>
      <c r="Z28" s="134"/>
    </row>
    <row r="29" spans="2:50" ht="16" customHeight="1" x14ac:dyDescent="0.3">
      <c r="B29" s="82"/>
      <c r="C29" s="75"/>
      <c r="D29" s="75"/>
      <c r="E29" s="435" t="str">
        <f>'Stage 2'!F22</f>
        <v>Urban open space</v>
      </c>
      <c r="F29" s="435"/>
      <c r="G29" s="435"/>
      <c r="H29" s="435"/>
      <c r="I29" s="435"/>
      <c r="J29" s="37"/>
      <c r="K29" s="210"/>
      <c r="L29" s="196" t="str">
        <f>IF('Stage 2'!$K22&gt;0,'Stage 2'!O27/'Stage 2'!$K22,"")</f>
        <v/>
      </c>
      <c r="M29" s="115"/>
      <c r="N29" s="306" t="s">
        <v>206</v>
      </c>
      <c r="O29" s="86" t="s">
        <v>232</v>
      </c>
      <c r="P29" s="96"/>
      <c r="Q29" s="37"/>
      <c r="R29" s="37"/>
      <c r="S29" s="435" t="str">
        <f t="shared" si="0"/>
        <v>Urban open space</v>
      </c>
      <c r="T29" s="435"/>
      <c r="U29" s="435"/>
      <c r="V29" s="435"/>
      <c r="W29" s="435"/>
      <c r="X29" s="306" t="s">
        <v>206</v>
      </c>
      <c r="Y29" s="171" t="str">
        <f>IF($X$15="Yes",IF($X$29="Yes",IF($X$21="600-625",'Data Tables'!AI4,IF($X$21="625-650",'Data Tables'!AI5,IF($X$21="650-675",'Data Tables'!AI6,IF($X$21="675-700",'Data Tables'!AI7,IF($X$21="700-750",'Data Tables'!AI8,IF($X$21="750-800",'Data Tables'!AI9,IF($X$21="800-850",'Data Tables'!AI10,'Data Tables'!AI11))))))),0),"")</f>
        <v/>
      </c>
      <c r="Z29" s="134"/>
    </row>
    <row r="30" spans="2:50" ht="16" customHeight="1" x14ac:dyDescent="0.3">
      <c r="B30" s="82"/>
      <c r="C30" s="75"/>
      <c r="D30" s="75"/>
      <c r="E30" s="435" t="str">
        <f>'Stage 2'!F23</f>
        <v>Dairy</v>
      </c>
      <c r="F30" s="435"/>
      <c r="G30" s="435"/>
      <c r="H30" s="435"/>
      <c r="I30" s="435"/>
      <c r="J30" s="37"/>
      <c r="K30" s="210"/>
      <c r="L30" s="196" t="str">
        <f>IF('Stage 2'!$K23&gt;0,'Stage 2'!O23/'Stage 2'!$K23,"")</f>
        <v/>
      </c>
      <c r="M30" s="305"/>
      <c r="N30" s="306" t="s">
        <v>206</v>
      </c>
      <c r="O30" s="86" t="s">
        <v>232</v>
      </c>
      <c r="P30" s="96"/>
      <c r="Q30" s="37"/>
      <c r="R30" s="37"/>
      <c r="S30" s="435" t="str">
        <f t="shared" si="0"/>
        <v>Dairy</v>
      </c>
      <c r="T30" s="435"/>
      <c r="U30" s="435"/>
      <c r="V30" s="435"/>
      <c r="W30" s="435"/>
      <c r="X30" s="306" t="s">
        <v>206</v>
      </c>
      <c r="Y30" s="171" t="str">
        <f>IF($X$15="Yes",IF($X30="Yes",(IF($X$20="Freely draining",IF($X$21="600-625",IF($X$22="Yes",'Data Tables'!O5,'Data Tables'!P5),IF($X$21="625-650",IF($X$22="Yes",'Data Tables'!O5,'Data Tables'!P5),IF($X$21="650-675",IF($X$22="Yes",'Data Tables'!O5,'Data Tables'!P5),IF($X$21="675-700",IF($X$22="Yes",'Data Tables'!O5,'Data Tables'!P5),IF($X$21="700-750",IF($X$22="Yes",'Data Tables'!U5,'Data Tables'!V5),IF($X$21="750-800",IF($X$22="Yes",'Data Tables'!U5,'Data Tables'!V5),IF($X$21="800-850",IF($X$22="Yes",'Data Tables'!U5,'Data Tables'!V5),IF($X$22="Yes",'Data Tables'!U5,'Data Tables'!V5)))))))),IF($X$20="Impermeable - drained for arable",IF($X$21="600-625",IF($X$22="Yes",'Data Tables'!Q5,'Data Tables'!R5),IF($X$21="625-650",IF($X$22="Yes",'Data Tables'!Q5,'Data Tables'!R5),IF($X$21="650-675",IF($X$22="Yes",'Data Tables'!Q5,'Data Tables'!R5),IF($X$21="675-700",IF($X$22="Yes",'Data Tables'!Q5,'Data Tables'!R5),IF($X$21="700-750",IF($X$22="Yes",'Data Tables'!W5,'Data Tables'!X5),IF($X$21="750-800",IF($X$22="Yes",'Data Tables'!W5,'Data Tables'!X5),IF($X$21="800-850",IF($X$22="Yes",'Data Tables'!W5,'Data Tables'!X5),IF($X$22="Yes",'Data Tables'!W5,'Data Tables'!X5)))))))),IF($X$21="600-625",IF($X$22="Yes",'Data Tables'!S5,'Data Tables'!T5),IF($X$21="625-650",IF($X$22="Yes",'Data Tables'!S5,'Data Tables'!T5),IF($X$21="650-675",IF($X$22="Yes",'Data Tables'!S5,'Data Tables'!T5),IF($X$21="675-700",IF($X$22="Yes",'Data Tables'!T5,'Data Tables'!T5),IF($X$21="700-750",IF($X$22="Yes",'Data Tables'!Y5,'Data Tables'!Z5),IF($X$21="750-800",IF($X$22="Yes",'Data Tables'!Y5,'Data Tables'!Z5),IF($X$21="800-850",IF($X$22="Yes",'Data Tables'!Y5,'Data Tables'!Z5),IF($X$22="Yes",'Data Tables'!Y5,'Data Tables'!Z5))))))))))),0),"")</f>
        <v/>
      </c>
      <c r="Z30" s="134"/>
      <c r="AC30" s="181"/>
      <c r="AD30" s="181"/>
      <c r="AE30" s="181"/>
      <c r="AF30" s="181"/>
      <c r="AG30" s="181"/>
      <c r="AH30" s="181"/>
      <c r="AI30" s="181"/>
      <c r="AJ30" s="181"/>
      <c r="AK30" s="181"/>
      <c r="AL30" s="181"/>
      <c r="AM30" s="181"/>
      <c r="AN30" s="181"/>
      <c r="AO30" s="181"/>
      <c r="AQ30" s="181"/>
      <c r="AR30" s="181"/>
      <c r="AS30" s="181"/>
      <c r="AT30" s="181"/>
      <c r="AU30" s="181"/>
      <c r="AV30" s="181"/>
      <c r="AW30" s="181"/>
      <c r="AX30" s="181"/>
    </row>
    <row r="31" spans="2:50" ht="16" customHeight="1" x14ac:dyDescent="0.3">
      <c r="B31" s="82"/>
      <c r="C31" s="75"/>
      <c r="D31" s="75"/>
      <c r="E31" s="435" t="str">
        <f>'Stage 2'!F24</f>
        <v>Lowland grazing</v>
      </c>
      <c r="F31" s="435"/>
      <c r="G31" s="435"/>
      <c r="H31" s="435"/>
      <c r="I31" s="435"/>
      <c r="J31" s="37"/>
      <c r="K31" s="210"/>
      <c r="L31" s="196" t="str">
        <f>IF('Stage 2'!$K24&gt;0,'Stage 2'!O24/'Stage 2'!$K24,"")</f>
        <v/>
      </c>
      <c r="M31" s="74"/>
      <c r="N31" s="306" t="s">
        <v>206</v>
      </c>
      <c r="O31" s="86" t="s">
        <v>232</v>
      </c>
      <c r="P31" s="96"/>
      <c r="Q31" s="37"/>
      <c r="R31" s="37"/>
      <c r="S31" s="435" t="str">
        <f t="shared" si="0"/>
        <v>Lowland grazing</v>
      </c>
      <c r="T31" s="435"/>
      <c r="U31" s="435"/>
      <c r="V31" s="435"/>
      <c r="W31" s="435"/>
      <c r="X31" s="306" t="s">
        <v>206</v>
      </c>
      <c r="Y31" s="171" t="str">
        <f>IF($X$15="Yes",IF($X31="Yes",(IF($X$20="Freely draining",IF($X$21="600-625",IF($X$22="Yes",'Data Tables'!O6,'Data Tables'!P6),IF($X$21="625-650",IF($X$22="Yes",'Data Tables'!O6,'Data Tables'!P6),IF($X$21="650-675",IF($X$22="Yes",'Data Tables'!O6,'Data Tables'!P6),IF($X$21="675-700",IF($X$22="Yes",'Data Tables'!O6,'Data Tables'!P6),IF($X$21="700-750",IF($X$22="Yes",'Data Tables'!U6,'Data Tables'!V6),IF($X$21="750-800",IF($X$22="Yes",'Data Tables'!U6,'Data Tables'!V6),IF($X$21="800-850",IF($X$22="Yes",'Data Tables'!U6,'Data Tables'!V6),IF($X$22="Yes",'Data Tables'!U6,'Data Tables'!V6)))))))),IF($X$20="Impermeable - drained for arable",IF($X$21="600-625",IF($X$22="Yes",'Data Tables'!Q6,'Data Tables'!R6),IF($X$21="625-650",IF($X$22="Yes",'Data Tables'!Q6,'Data Tables'!R6),IF($X$21="650-675",IF($X$22="Yes",'Data Tables'!Q6,'Data Tables'!R6),IF($X$21="675-700",IF($X$22="Yes",'Data Tables'!Q6,'Data Tables'!R6),IF($X$21="700-750",IF($X$22="Yes",'Data Tables'!W6,'Data Tables'!X6),IF($X$21="750-800",IF($X$22="Yes",'Data Tables'!W6,'Data Tables'!X6),IF($X$21="800-850",IF($X$22="Yes",'Data Tables'!W6,'Data Tables'!X6),IF($X$22="Yes",'Data Tables'!W6,'Data Tables'!X6)))))))),IF($X$21="600-625",IF($X$22="Yes",'Data Tables'!S6,'Data Tables'!T6),IF($X$21="625-650",IF($X$22="Yes",'Data Tables'!S6,'Data Tables'!T6),IF($X$21="650-675",IF($X$22="Yes",'Data Tables'!S6,'Data Tables'!T6),IF($X$21="675-700",IF($X$22="Yes",'Data Tables'!T6,'Data Tables'!T6),IF($X$21="700-750",IF($X$22="Yes",'Data Tables'!Y6,'Data Tables'!Z6),IF($X$21="750-800",IF($X$22="Yes",'Data Tables'!Y6,'Data Tables'!Z6),IF($X$21="800-850",IF($X$22="Yes",'Data Tables'!Y6,'Data Tables'!Z6),IF($X$22="Yes",'Data Tables'!Y6,'Data Tables'!Z6))))))))))),0),"")</f>
        <v/>
      </c>
      <c r="Z31" s="134"/>
      <c r="AC31" s="181"/>
      <c r="AD31" s="181"/>
      <c r="AE31" s="181"/>
      <c r="AF31" s="181"/>
      <c r="AG31" s="181"/>
      <c r="AH31" s="181"/>
      <c r="AI31" s="181"/>
      <c r="AJ31" s="181"/>
      <c r="AK31" s="181"/>
      <c r="AL31" s="181"/>
      <c r="AM31" s="181"/>
      <c r="AN31" s="181"/>
      <c r="AO31" s="181"/>
      <c r="AQ31" s="181"/>
      <c r="AR31" s="181"/>
      <c r="AS31" s="181"/>
      <c r="AT31" s="181"/>
      <c r="AU31" s="181"/>
      <c r="AV31" s="181"/>
      <c r="AW31" s="181"/>
      <c r="AX31" s="181"/>
    </row>
    <row r="32" spans="2:50" ht="16" customHeight="1" x14ac:dyDescent="0.3">
      <c r="B32" s="82"/>
      <c r="C32" s="75"/>
      <c r="D32" s="75"/>
      <c r="E32" s="435" t="str">
        <f>'Stage 2'!F25</f>
        <v>Mixed</v>
      </c>
      <c r="F32" s="435"/>
      <c r="G32" s="435"/>
      <c r="H32" s="435"/>
      <c r="I32" s="435"/>
      <c r="J32" s="37"/>
      <c r="K32" s="210"/>
      <c r="L32" s="196" t="str">
        <f>IF('Stage 2'!$K25&gt;0,'Stage 2'!O25/'Stage 2'!$K25,"")</f>
        <v/>
      </c>
      <c r="M32" s="74"/>
      <c r="N32" s="306" t="s">
        <v>206</v>
      </c>
      <c r="O32" s="86" t="s">
        <v>232</v>
      </c>
      <c r="P32" s="96"/>
      <c r="Q32" s="37"/>
      <c r="R32" s="37"/>
      <c r="S32" s="435" t="str">
        <f t="shared" si="0"/>
        <v>Mixed</v>
      </c>
      <c r="T32" s="435"/>
      <c r="U32" s="435"/>
      <c r="V32" s="435"/>
      <c r="W32" s="435"/>
      <c r="X32" s="306" t="s">
        <v>206</v>
      </c>
      <c r="Y32" s="171" t="str">
        <f>IF($X$15="Yes",IF($X32="Yes",(IF($X$20="Freely draining",IF($X$21="600-625",IF($X$22="Yes",'Data Tables'!O7,'Data Tables'!P7),IF($X$21="625-650",IF($X$22="Yes",'Data Tables'!O7,'Data Tables'!P7),IF($X$21="650-675",IF($X$22="Yes",'Data Tables'!O7,'Data Tables'!P7),IF($X$21="675-700",IF($X$22="Yes",'Data Tables'!O7,'Data Tables'!P7),IF($X$21="700-750",IF($X$22="Yes",'Data Tables'!U7,'Data Tables'!V7),IF($X$21="750-800",IF($X$22="Yes",'Data Tables'!U7,'Data Tables'!V7),IF($X$21="800-850",IF($X$22="Yes",'Data Tables'!U7,'Data Tables'!V7),IF($X$22="Yes",'Data Tables'!U7,'Data Tables'!V7)))))))),IF($X$20="Impermeable - drained for arable",IF($X$21="600-625",IF($X$22="Yes",'Data Tables'!Q7,'Data Tables'!R7),IF($X$21="625-650",IF($X$22="Yes",'Data Tables'!Q7,'Data Tables'!R7),IF($X$21="650-675",IF($X$22="Yes",'Data Tables'!Q7,'Data Tables'!R7),IF($X$21="675-700",IF($X$22="Yes",'Data Tables'!Q7,'Data Tables'!R7),IF($X$21="700-750",IF($X$22="Yes",'Data Tables'!W7,'Data Tables'!X7),IF($X$21="750-800",IF($X$22="Yes",'Data Tables'!W7,'Data Tables'!X7),IF($X$21="800-850",IF($X$22="Yes",'Data Tables'!W7,'Data Tables'!X7),IF($X$22="Yes",'Data Tables'!W7,'Data Tables'!X7)))))))),IF($X$21="600-625",IF($X$22="Yes",'Data Tables'!S7,'Data Tables'!T7),IF($X$21="625-650",IF($X$22="Yes",'Data Tables'!S7,'Data Tables'!T7),IF($X$21="650-675",IF($X$22="Yes",'Data Tables'!S7,'Data Tables'!T7),IF($X$21="675-700",IF($X$22="Yes",'Data Tables'!T7,'Data Tables'!T7),IF($X$21="700-750",IF($X$22="Yes",'Data Tables'!Y7,'Data Tables'!Z7),IF($X$21="750-800",IF($X$22="Yes",'Data Tables'!Y7,'Data Tables'!Z7),IF($X$21="800-850",IF($X$22="Yes",'Data Tables'!Y7,'Data Tables'!Z7),IF($X$22="Yes",'Data Tables'!Y7,'Data Tables'!Z7))))))))))),0),"")</f>
        <v/>
      </c>
      <c r="Z32" s="134"/>
      <c r="AC32" s="181"/>
      <c r="AD32" s="181"/>
      <c r="AE32" s="181"/>
      <c r="AF32" s="181"/>
      <c r="AG32" s="181"/>
      <c r="AH32" s="181"/>
      <c r="AI32" s="181"/>
      <c r="AJ32" s="181"/>
      <c r="AK32" s="181"/>
      <c r="AL32" s="181"/>
      <c r="AM32" s="181"/>
      <c r="AN32" s="181"/>
      <c r="AO32" s="181"/>
      <c r="AQ32" s="181"/>
      <c r="AR32" s="181"/>
      <c r="AS32" s="181"/>
      <c r="AT32" s="181"/>
      <c r="AU32" s="181"/>
      <c r="AV32" s="181"/>
      <c r="AW32" s="181"/>
      <c r="AX32" s="181"/>
    </row>
    <row r="33" spans="2:50" ht="16" customHeight="1" x14ac:dyDescent="0.3">
      <c r="B33" s="82"/>
      <c r="C33" s="75"/>
      <c r="D33" s="75"/>
      <c r="E33" s="435" t="str">
        <f>'Stage 2'!F26</f>
        <v>Poultry</v>
      </c>
      <c r="F33" s="435"/>
      <c r="G33" s="435"/>
      <c r="H33" s="435"/>
      <c r="I33" s="435"/>
      <c r="J33" s="37"/>
      <c r="K33" s="210"/>
      <c r="L33" s="196" t="str">
        <f>IF('Stage 2'!$K26&gt;0,'Stage 2'!O26/'Stage 2'!$K26,"")</f>
        <v/>
      </c>
      <c r="M33" s="74"/>
      <c r="N33" s="306" t="s">
        <v>206</v>
      </c>
      <c r="O33" s="86" t="s">
        <v>232</v>
      </c>
      <c r="P33" s="96"/>
      <c r="Q33" s="37"/>
      <c r="R33" s="37"/>
      <c r="S33" s="435" t="str">
        <f t="shared" si="0"/>
        <v>Poultry</v>
      </c>
      <c r="T33" s="435"/>
      <c r="U33" s="435"/>
      <c r="V33" s="435"/>
      <c r="W33" s="435"/>
      <c r="X33" s="306" t="s">
        <v>206</v>
      </c>
      <c r="Y33" s="171" t="str">
        <f>IF($X$15="Yes",IF($X33="Yes",(IF($X$20="Freely draining",IF($X$21="600-625",IF($X$22="Yes",'Data Tables'!O8,'Data Tables'!P8),IF($X$21="625-650",IF($X$22="Yes",'Data Tables'!O8,'Data Tables'!P8),IF($X$21="650-675",IF($X$22="Yes",'Data Tables'!O8,'Data Tables'!P8),IF($X$21="675-700",IF($X$22="Yes",'Data Tables'!O8,'Data Tables'!P8),IF($X$21="700-750",IF($X$22="Yes",'Data Tables'!U8,'Data Tables'!V8),IF($X$21="750-800",IF($X$22="Yes",'Data Tables'!U8,'Data Tables'!V8),IF($X$21="800-850",IF($X$22="Yes",'Data Tables'!U8,'Data Tables'!V8),IF($X$22="Yes",'Data Tables'!U8,'Data Tables'!V8)))))))),IF($X$20="Impermeable - drained for arable",IF($X$21="600-625",IF($X$22="Yes",'Data Tables'!Q8,'Data Tables'!R8),IF($X$21="625-650",IF($X$22="Yes",'Data Tables'!Q8,'Data Tables'!R8),IF($X$21="650-675",IF($X$22="Yes",'Data Tables'!Q8,'Data Tables'!R8),IF($X$21="675-700",IF($X$22="Yes",'Data Tables'!Q8,'Data Tables'!R8),IF($X$21="700-750",IF($X$22="Yes",'Data Tables'!W8,'Data Tables'!X8),IF($X$21="750-800",IF($X$22="Yes",'Data Tables'!W8,'Data Tables'!X8),IF($X$21="800-850",IF($X$22="Yes",'Data Tables'!W8,'Data Tables'!X8),IF($X$22="Yes",'Data Tables'!W8,'Data Tables'!X8)))))))),IF($X$21="600-625",IF($X$22="Yes",'Data Tables'!S8,'Data Tables'!T8),IF($X$21="625-650",IF($X$22="Yes",'Data Tables'!S8,'Data Tables'!T8),IF($X$21="650-675",IF($X$22="Yes",'Data Tables'!S8,'Data Tables'!T8),IF($X$21="675-700",IF($X$22="Yes",'Data Tables'!T8,'Data Tables'!T8),IF($X$21="700-750",IF($X$22="Yes",'Data Tables'!Y8,'Data Tables'!Z8),IF($X$21="750-800",IF($X$22="Yes",'Data Tables'!Y8,'Data Tables'!Z8),IF($X$21="800-850",IF($X$22="Yes",'Data Tables'!Y8,'Data Tables'!Z8),IF($X$22="Yes",'Data Tables'!Y8,'Data Tables'!Z8))))))))))),0),"")</f>
        <v/>
      </c>
      <c r="Z33" s="134"/>
      <c r="AC33" s="181"/>
      <c r="AD33" s="181"/>
      <c r="AE33" s="181"/>
      <c r="AF33" s="181"/>
      <c r="AG33" s="181"/>
      <c r="AH33" s="181"/>
      <c r="AI33" s="181"/>
      <c r="AJ33" s="181"/>
      <c r="AK33" s="181"/>
      <c r="AL33" s="181"/>
      <c r="AM33" s="181"/>
      <c r="AN33" s="181"/>
      <c r="AO33" s="181"/>
      <c r="AQ33" s="181"/>
      <c r="AR33" s="181"/>
      <c r="AS33" s="181"/>
      <c r="AT33" s="181"/>
      <c r="AU33" s="181"/>
      <c r="AV33" s="181"/>
      <c r="AW33" s="181"/>
      <c r="AX33" s="181"/>
    </row>
    <row r="34" spans="2:50" ht="16" customHeight="1" x14ac:dyDescent="0.3">
      <c r="B34" s="82"/>
      <c r="C34" s="75"/>
      <c r="D34" s="75"/>
      <c r="E34" s="435" t="str">
        <f>'Stage 2'!F27</f>
        <v>Pigs</v>
      </c>
      <c r="F34" s="435"/>
      <c r="G34" s="435"/>
      <c r="H34" s="435"/>
      <c r="I34" s="435"/>
      <c r="J34" s="37"/>
      <c r="K34" s="210"/>
      <c r="L34" s="196" t="str">
        <f>IF('Stage 2'!$K27&gt;0,'Stage 2'!O27/'Stage 2'!$K27,"")</f>
        <v/>
      </c>
      <c r="M34" s="74"/>
      <c r="N34" s="306" t="s">
        <v>206</v>
      </c>
      <c r="O34" s="86" t="s">
        <v>232</v>
      </c>
      <c r="P34" s="96"/>
      <c r="Q34" s="37"/>
      <c r="R34" s="37"/>
      <c r="S34" s="435" t="str">
        <f t="shared" si="0"/>
        <v>Pigs</v>
      </c>
      <c r="T34" s="435"/>
      <c r="U34" s="435"/>
      <c r="V34" s="435"/>
      <c r="W34" s="435"/>
      <c r="X34" s="306" t="s">
        <v>206</v>
      </c>
      <c r="Y34" s="171" t="str">
        <f>IF($X$15="Yes",IF($X34="Yes",(IF($X$20="Freely draining",IF($X$21="600-625",IF($X$22="Yes",'Data Tables'!O9,'Data Tables'!P9),IF($X$21="625-650",IF($X$22="Yes",'Data Tables'!O9,'Data Tables'!P9),IF($X$21="650-675",IF($X$22="Yes",'Data Tables'!O9,'Data Tables'!P9),IF($X$21="675-700",IF($X$22="Yes",'Data Tables'!O9,'Data Tables'!P9),IF($X$21="700-750",IF($X$22="Yes",'Data Tables'!U9,'Data Tables'!V9),IF($X$21="750-800",IF($X$22="Yes",'Data Tables'!U9,'Data Tables'!V9),IF($X$21="800-850",IF($X$22="Yes",'Data Tables'!U9,'Data Tables'!V9),IF($X$22="Yes",'Data Tables'!U9,'Data Tables'!V9)))))))),IF($X$20="Impermeable - drained for arable",IF($X$21="600-625",IF($X$22="Yes",'Data Tables'!Q9,'Data Tables'!R9),IF($X$21="625-650",IF($X$22="Yes",'Data Tables'!Q9,'Data Tables'!R9),IF($X$21="650-675",IF($X$22="Yes",'Data Tables'!Q9,'Data Tables'!R9),IF($X$21="675-700",IF($X$22="Yes",'Data Tables'!Q9,'Data Tables'!R9),IF($X$21="700-750",IF($X$22="Yes",'Data Tables'!W9,'Data Tables'!X9),IF($X$21="750-800",IF($X$22="Yes",'Data Tables'!W9,'Data Tables'!X9),IF($X$21="800-850",IF($X$22="Yes",'Data Tables'!W9,'Data Tables'!X9),IF($X$22="Yes",'Data Tables'!W9,'Data Tables'!X9)))))))),IF($X$21="600-625",IF($X$22="Yes",'Data Tables'!S9,'Data Tables'!T9),IF($X$21="625-650",IF($X$22="Yes",'Data Tables'!S9,'Data Tables'!T9),IF($X$21="650-675",IF($X$22="Yes",'Data Tables'!S9,'Data Tables'!T9),IF($X$21="675-700",IF($X$22="Yes",'Data Tables'!T9,'Data Tables'!T9),IF($X$21="700-750",IF($X$22="Yes",'Data Tables'!Y9,'Data Tables'!Z9),IF($X$21="750-800",IF($X$22="Yes",'Data Tables'!Y9,'Data Tables'!Z9),IF($X$21="800-850",IF($X$22="Yes",'Data Tables'!Y9,'Data Tables'!Z9),IF($X$22="Yes",'Data Tables'!Y9,'Data Tables'!Z9))))))))))),0),"")</f>
        <v/>
      </c>
      <c r="Z34" s="134"/>
      <c r="AC34" s="181"/>
      <c r="AD34" s="181"/>
      <c r="AE34" s="181"/>
      <c r="AF34" s="181"/>
      <c r="AG34" s="181"/>
      <c r="AH34" s="181"/>
      <c r="AI34" s="181"/>
      <c r="AJ34" s="181"/>
      <c r="AK34" s="181"/>
      <c r="AL34" s="181"/>
      <c r="AM34" s="181"/>
      <c r="AN34" s="181"/>
      <c r="AO34" s="181"/>
      <c r="AQ34" s="181"/>
      <c r="AR34" s="181"/>
      <c r="AS34" s="181"/>
      <c r="AT34" s="181"/>
      <c r="AU34" s="181"/>
      <c r="AV34" s="181"/>
      <c r="AW34" s="181"/>
      <c r="AX34" s="181"/>
    </row>
    <row r="35" spans="2:50" ht="16" customHeight="1" x14ac:dyDescent="0.3">
      <c r="B35" s="82"/>
      <c r="C35" s="75"/>
      <c r="D35" s="75"/>
      <c r="E35" s="435" t="str">
        <f>'Stage 2'!F28</f>
        <v>Horticulture</v>
      </c>
      <c r="F35" s="435"/>
      <c r="G35" s="435"/>
      <c r="H35" s="435"/>
      <c r="I35" s="435"/>
      <c r="J35" s="37"/>
      <c r="K35" s="210"/>
      <c r="L35" s="196" t="str">
        <f>IF('Stage 2'!$K28&gt;0,'Stage 2'!O28/'Stage 2'!$K28,"")</f>
        <v/>
      </c>
      <c r="M35" s="74"/>
      <c r="N35" s="306" t="s">
        <v>206</v>
      </c>
      <c r="O35" s="86" t="s">
        <v>232</v>
      </c>
      <c r="P35" s="96"/>
      <c r="Q35" s="37"/>
      <c r="R35" s="37"/>
      <c r="S35" s="435" t="str">
        <f t="shared" si="0"/>
        <v>Horticulture</v>
      </c>
      <c r="T35" s="435"/>
      <c r="U35" s="435"/>
      <c r="V35" s="435"/>
      <c r="W35" s="435"/>
      <c r="X35" s="306" t="s">
        <v>206</v>
      </c>
      <c r="Y35" s="171" t="str">
        <f>IF($X$15="Yes",IF($X35="Yes",(IF($X$20="Freely draining",IF($X$21="600-625",IF($X$22="Yes",'Data Tables'!O10,'Data Tables'!P10),IF($X$21="625-650",IF($X$22="Yes",'Data Tables'!O10,'Data Tables'!P10),IF($X$21="650-675",IF($X$22="Yes",'Data Tables'!O10,'Data Tables'!P10),IF($X$21="675-700",IF($X$22="Yes",'Data Tables'!O10,'Data Tables'!P10),IF($X$21="700-750",IF($X$22="Yes",'Data Tables'!U10,'Data Tables'!V10),IF($X$21="750-800",IF($X$22="Yes",'Data Tables'!U10,'Data Tables'!V10),IF($X$21="800-850",IF($X$22="Yes",'Data Tables'!U10,'Data Tables'!V10),IF($X$22="Yes",'Data Tables'!U10,'Data Tables'!V10)))))))),IF($X$20="Impermeable - drained for arable",IF($X$21="600-625",IF($X$22="Yes",'Data Tables'!Q10,'Data Tables'!R10),IF($X$21="625-650",IF($X$22="Yes",'Data Tables'!Q10,'Data Tables'!R10),IF($X$21="650-675",IF($X$22="Yes",'Data Tables'!Q10,'Data Tables'!R10),IF($X$21="675-700",IF($X$22="Yes",'Data Tables'!Q10,'Data Tables'!R10),IF($X$21="700-750",IF($X$22="Yes",'Data Tables'!W10,'Data Tables'!X10),IF($X$21="750-800",IF($X$22="Yes",'Data Tables'!W10,'Data Tables'!X10),IF($X$21="800-850",IF($X$22="Yes",'Data Tables'!W10,'Data Tables'!X10),IF($X$22="Yes",'Data Tables'!W10,'Data Tables'!X10)))))))),IF($X$21="600-625",IF($X$22="Yes",'Data Tables'!S10,'Data Tables'!T10),IF($X$21="625-650",IF($X$22="Yes",'Data Tables'!S10,'Data Tables'!T10),IF($X$21="650-675",IF($X$22="Yes",'Data Tables'!S10,'Data Tables'!T10),IF($X$21="675-700",IF($X$22="Yes",'Data Tables'!T10,'Data Tables'!T10),IF($X$21="700-750",IF($X$22="Yes",'Data Tables'!Y10,'Data Tables'!Z10),IF($X$21="750-800",IF($X$22="Yes",'Data Tables'!Y10,'Data Tables'!Z10),IF($X$21="800-850",IF($X$22="Yes",'Data Tables'!Y10,'Data Tables'!Z10),IF($X$22="Yes",'Data Tables'!Y10,'Data Tables'!Z10))))))))))),0),"")</f>
        <v/>
      </c>
      <c r="Z35" s="134"/>
      <c r="AC35" s="181"/>
      <c r="AD35" s="181"/>
      <c r="AE35" s="181"/>
      <c r="AF35" s="181"/>
      <c r="AG35" s="181"/>
      <c r="AH35" s="181"/>
      <c r="AI35" s="181"/>
      <c r="AJ35" s="181"/>
      <c r="AK35" s="181"/>
      <c r="AL35" s="181"/>
      <c r="AM35" s="181"/>
      <c r="AN35" s="181"/>
      <c r="AO35" s="181"/>
      <c r="AQ35" s="181"/>
      <c r="AR35" s="181"/>
      <c r="AS35" s="181"/>
      <c r="AT35" s="181"/>
      <c r="AU35" s="181"/>
      <c r="AV35" s="181"/>
      <c r="AW35" s="181"/>
      <c r="AX35" s="181"/>
    </row>
    <row r="36" spans="2:50" ht="16" customHeight="1" x14ac:dyDescent="0.3">
      <c r="B36" s="82"/>
      <c r="C36" s="75"/>
      <c r="D36" s="75"/>
      <c r="E36" s="435" t="str">
        <f>'Stage 2'!F29</f>
        <v>Cereals</v>
      </c>
      <c r="F36" s="435"/>
      <c r="G36" s="435"/>
      <c r="H36" s="435"/>
      <c r="I36" s="435"/>
      <c r="J36" s="37"/>
      <c r="K36" s="210"/>
      <c r="L36" s="196" t="str">
        <f>IF('Stage 2'!$K29&gt;0,'Stage 2'!O29/'Stage 2'!$K29,"")</f>
        <v/>
      </c>
      <c r="M36" s="74"/>
      <c r="N36" s="306" t="s">
        <v>206</v>
      </c>
      <c r="O36" s="86" t="s">
        <v>232</v>
      </c>
      <c r="P36" s="96"/>
      <c r="Q36" s="37"/>
      <c r="R36" s="37"/>
      <c r="S36" s="435" t="str">
        <f t="shared" si="0"/>
        <v>Cereals</v>
      </c>
      <c r="T36" s="435"/>
      <c r="U36" s="435"/>
      <c r="V36" s="435"/>
      <c r="W36" s="435"/>
      <c r="X36" s="306" t="s">
        <v>206</v>
      </c>
      <c r="Y36" s="171" t="str">
        <f>IF($X$15="Yes",IF($X36="Yes",(IF($X$20="Freely draining",IF($X$21="600-625",IF($X$22="Yes",'Data Tables'!O11,'Data Tables'!P11),IF($X$21="625-650",IF($X$22="Yes",'Data Tables'!O11,'Data Tables'!P11),IF($X$21="650-675",IF($X$22="Yes",'Data Tables'!O11,'Data Tables'!P11),IF($X$21="675-700",IF($X$22="Yes",'Data Tables'!O11,'Data Tables'!P11),IF($X$21="700-750",IF($X$22="Yes",'Data Tables'!U11,'Data Tables'!V11),IF($X$21="750-800",IF($X$22="Yes",'Data Tables'!U11,'Data Tables'!V11),IF($X$21="800-850",IF($X$22="Yes",'Data Tables'!U11,'Data Tables'!V11),IF($X$22="Yes",'Data Tables'!U11,'Data Tables'!V11)))))))),IF($X$20="Impermeable - drained for arable",IF($X$21="600-625",IF($X$22="Yes",'Data Tables'!Q11,'Data Tables'!R11),IF($X$21="625-650",IF($X$22="Yes",'Data Tables'!Q11,'Data Tables'!R11),IF($X$21="650-675",IF($X$22="Yes",'Data Tables'!Q11,'Data Tables'!R11),IF($X$21="675-700",IF($X$22="Yes",'Data Tables'!Q11,'Data Tables'!R11),IF($X$21="700-750",IF($X$22="Yes",'Data Tables'!W11,'Data Tables'!X11),IF($X$21="750-800",IF($X$22="Yes",'Data Tables'!W11,'Data Tables'!X11),IF($X$21="800-850",IF($X$22="Yes",'Data Tables'!W11,'Data Tables'!X11),IF($X$22="Yes",'Data Tables'!W11,'Data Tables'!X11)))))))),IF($X$21="600-625",IF($X$22="Yes",'Data Tables'!S11,'Data Tables'!T11),IF($X$21="625-650",IF($X$22="Yes",'Data Tables'!S11,'Data Tables'!T11),IF($X$21="650-675",IF($X$22="Yes",'Data Tables'!S11,'Data Tables'!T11),IF($X$21="675-700",IF($X$22="Yes",'Data Tables'!T11,'Data Tables'!T11),IF($X$21="700-750",IF($X$22="Yes",'Data Tables'!Y11,'Data Tables'!Z11),IF($X$21="750-800",IF($X$22="Yes",'Data Tables'!Y11,'Data Tables'!Z11),IF($X$21="800-850",IF($X$22="Yes",'Data Tables'!Y11,'Data Tables'!Z11),IF($X$22="Yes",'Data Tables'!Y11,'Data Tables'!Z11))))))))))),0),"")</f>
        <v/>
      </c>
      <c r="Z36" s="134"/>
      <c r="AC36" s="181"/>
      <c r="AD36" s="181"/>
      <c r="AE36" s="181"/>
      <c r="AF36" s="181"/>
      <c r="AG36" s="181"/>
      <c r="AH36" s="181"/>
      <c r="AI36" s="181"/>
      <c r="AJ36" s="181"/>
      <c r="AK36" s="181"/>
      <c r="AL36" s="181"/>
      <c r="AM36" s="181"/>
      <c r="AN36" s="181"/>
      <c r="AO36" s="181"/>
      <c r="AQ36" s="181"/>
      <c r="AR36" s="181"/>
      <c r="AS36" s="181"/>
      <c r="AT36" s="181"/>
      <c r="AU36" s="181"/>
      <c r="AV36" s="181"/>
      <c r="AW36" s="181"/>
      <c r="AX36" s="181"/>
    </row>
    <row r="37" spans="2:50" ht="16" customHeight="1" x14ac:dyDescent="0.3">
      <c r="B37" s="82"/>
      <c r="C37" s="75"/>
      <c r="D37" s="75"/>
      <c r="E37" s="435" t="str">
        <f>'Stage 2'!F30</f>
        <v>General Arable</v>
      </c>
      <c r="F37" s="435"/>
      <c r="G37" s="435"/>
      <c r="H37" s="435"/>
      <c r="I37" s="435"/>
      <c r="J37" s="37"/>
      <c r="K37" s="210"/>
      <c r="L37" s="196" t="str">
        <f>IF('Stage 2'!$K30&gt;0,'Stage 2'!O30/'Stage 2'!$K30,"")</f>
        <v/>
      </c>
      <c r="M37" s="74"/>
      <c r="N37" s="306" t="s">
        <v>206</v>
      </c>
      <c r="O37" s="86" t="s">
        <v>232</v>
      </c>
      <c r="P37" s="96"/>
      <c r="Q37" s="37"/>
      <c r="R37" s="37"/>
      <c r="S37" s="435" t="str">
        <f t="shared" si="0"/>
        <v>General Arable</v>
      </c>
      <c r="T37" s="435"/>
      <c r="U37" s="435"/>
      <c r="V37" s="435"/>
      <c r="W37" s="435"/>
      <c r="X37" s="306" t="s">
        <v>206</v>
      </c>
      <c r="Y37" s="171" t="str">
        <f>IF($X$15="Yes",IF($X37="Yes",(IF($X$20="Freely draining",IF($X$21="600-625",IF($X$22="Yes",'Data Tables'!O12,'Data Tables'!P12),IF($X$21="625-650",IF($X$22="Yes",'Data Tables'!O12,'Data Tables'!P12),IF($X$21="650-675",IF($X$22="Yes",'Data Tables'!O12,'Data Tables'!P12),IF($X$21="675-700",IF($X$22="Yes",'Data Tables'!O12,'Data Tables'!P12),IF($X$21="700-750",IF($X$22="Yes",'Data Tables'!U12,'Data Tables'!V12),IF($X$21="750-800",IF($X$22="Yes",'Data Tables'!U12,'Data Tables'!V12),IF($X$21="800-850",IF($X$22="Yes",'Data Tables'!U12,'Data Tables'!V12),IF($X$22="Yes",'Data Tables'!U12,'Data Tables'!V12)))))))),IF($X$20="Impermeable - drained for arable",IF($X$21="600-625",IF($X$22="Yes",'Data Tables'!Q12,'Data Tables'!R12),IF($X$21="625-650",IF($X$22="Yes",'Data Tables'!Q12,'Data Tables'!R12),IF($X$21="650-675",IF($X$22="Yes",'Data Tables'!Q12,'Data Tables'!R12),IF($X$21="675-700",IF($X$22="Yes",'Data Tables'!Q12,'Data Tables'!R12),IF($X$21="700-750",IF($X$22="Yes",'Data Tables'!W12,'Data Tables'!X12),IF($X$21="750-800",IF($X$22="Yes",'Data Tables'!W12,'Data Tables'!X12),IF($X$21="800-850",IF($X$22="Yes",'Data Tables'!W12,'Data Tables'!X12),IF($X$22="Yes",'Data Tables'!W12,'Data Tables'!X12)))))))),IF($X$21="600-625",IF($X$22="Yes",'Data Tables'!S12,'Data Tables'!T12),IF($X$21="625-650",IF($X$22="Yes",'Data Tables'!S12,'Data Tables'!T12),IF($X$21="650-675",IF($X$22="Yes",'Data Tables'!S12,'Data Tables'!T12),IF($X$21="675-700",IF($X$22="Yes",'Data Tables'!T12,'Data Tables'!T12),IF($X$21="700-750",IF($X$22="Yes",'Data Tables'!Y12,'Data Tables'!Z12),IF($X$21="750-800",IF($X$22="Yes",'Data Tables'!Y12,'Data Tables'!Z12),IF($X$21="800-850",IF($X$22="Yes",'Data Tables'!Y12,'Data Tables'!Z12),IF($X$22="Yes",'Data Tables'!Y12,'Data Tables'!Z12))))))))))),0),"")</f>
        <v/>
      </c>
      <c r="Z37" s="134"/>
      <c r="AC37" s="181"/>
      <c r="AD37" s="181"/>
      <c r="AE37" s="181"/>
      <c r="AF37" s="181"/>
      <c r="AG37" s="181"/>
      <c r="AH37" s="181"/>
      <c r="AI37" s="181"/>
      <c r="AJ37" s="181"/>
      <c r="AK37" s="181"/>
      <c r="AL37" s="181"/>
      <c r="AM37" s="181"/>
      <c r="AN37" s="181"/>
      <c r="AO37" s="181"/>
      <c r="AQ37" s="181"/>
      <c r="AR37" s="181"/>
      <c r="AS37" s="181"/>
      <c r="AT37" s="181"/>
      <c r="AU37" s="181"/>
      <c r="AV37" s="181"/>
      <c r="AW37" s="181"/>
      <c r="AX37" s="181"/>
    </row>
    <row r="38" spans="2:50" ht="16" customHeight="1" x14ac:dyDescent="0.3">
      <c r="B38" s="82"/>
      <c r="C38" s="75"/>
      <c r="D38" s="75"/>
      <c r="E38" s="435" t="str">
        <f>'Stage 2'!F31</f>
        <v>Allotments and city farms</v>
      </c>
      <c r="F38" s="435"/>
      <c r="G38" s="435"/>
      <c r="H38" s="435"/>
      <c r="I38" s="435"/>
      <c r="J38" s="37"/>
      <c r="K38" s="210"/>
      <c r="L38" s="196" t="str">
        <f>IF('Stage 2'!$K31&gt;0,'Stage 2'!O31/'Stage 2'!$K31,"")</f>
        <v/>
      </c>
      <c r="M38" s="115"/>
      <c r="N38" s="306" t="s">
        <v>206</v>
      </c>
      <c r="O38" s="86" t="s">
        <v>232</v>
      </c>
      <c r="P38" s="96"/>
      <c r="Q38" s="37"/>
      <c r="R38" s="37"/>
      <c r="S38" s="435" t="str">
        <f t="shared" si="0"/>
        <v>Allotments and city farms</v>
      </c>
      <c r="T38" s="435"/>
      <c r="U38" s="435"/>
      <c r="V38" s="435"/>
      <c r="W38" s="435"/>
      <c r="X38" s="306" t="s">
        <v>206</v>
      </c>
      <c r="Y38" s="171" t="str">
        <f>IF($X$15="Yes",IF($X38="Yes",(IF($X$20="Freely draining",IF($X$21="600-625",IF($X$22="Yes",'Data Tables'!O13,'Data Tables'!P13),IF($X$21="625-650",IF($X$22="Yes",'Data Tables'!O13,'Data Tables'!P13),IF($X$21="650-675",IF($X$22="Yes",'Data Tables'!O13,'Data Tables'!P13),IF($X$21="675-700",IF($X$22="Yes",'Data Tables'!O13,'Data Tables'!P13),IF($X$21="700-750",IF($X$22="Yes",'Data Tables'!U13,'Data Tables'!V13),IF($X$21="750-800",IF($X$22="Yes",'Data Tables'!U13,'Data Tables'!V13),IF($X$21="800-850",IF($X$22="Yes",'Data Tables'!U13,'Data Tables'!V13),IF($X$22="Yes",'Data Tables'!U13,'Data Tables'!V13)))))))),IF($X$20="Impermeable - drained for arable",IF($X$21="600-625",IF($X$22="Yes",'Data Tables'!Q13,'Data Tables'!R13),IF($X$21="625-650",IF($X$22="Yes",'Data Tables'!Q13,'Data Tables'!R13),IF($X$21="650-675",IF($X$22="Yes",'Data Tables'!Q13,'Data Tables'!R13),IF($X$21="675-700",IF($X$22="Yes",'Data Tables'!Q13,'Data Tables'!R13),IF($X$21="700-750",IF($X$22="Yes",'Data Tables'!W13,'Data Tables'!X13),IF($X$21="750-800",IF($X$22="Yes",'Data Tables'!W13,'Data Tables'!X13),IF($X$21="800-850",IF($X$22="Yes",'Data Tables'!W13,'Data Tables'!X13),IF($X$22="Yes",'Data Tables'!W13,'Data Tables'!X13)))))))),IF($X$21="600-625",IF($X$22="Yes",'Data Tables'!S13,'Data Tables'!T13),IF($X$21="625-650",IF($X$22="Yes",'Data Tables'!S13,'Data Tables'!T13),IF($X$21="650-675",IF($X$22="Yes",'Data Tables'!S13,'Data Tables'!T13),IF($X$21="675-700",IF($X$22="Yes",'Data Tables'!T13,'Data Tables'!T13),IF($X$21="700-750",IF($X$22="Yes",'Data Tables'!Y13,'Data Tables'!Z13),IF($X$21="750-800",IF($X$22="Yes",'Data Tables'!Y13,'Data Tables'!Z13),IF($X$21="800-850",IF($X$22="Yes",'Data Tables'!Y13,'Data Tables'!Z13),IF($X$22="Yes",'Data Tables'!Y13,'Data Tables'!Z13))))))))))),0),"")</f>
        <v/>
      </c>
      <c r="Z38" s="134"/>
    </row>
    <row r="39" spans="2:50" ht="16" customHeight="1" x14ac:dyDescent="0.3">
      <c r="B39" s="82"/>
      <c r="C39" s="75"/>
      <c r="D39" s="75"/>
      <c r="E39" s="435" t="str">
        <f>'Stage 2'!F32</f>
        <v>Woodland (e.g. conifer, mixed, broad-leaved)</v>
      </c>
      <c r="F39" s="435"/>
      <c r="G39" s="435"/>
      <c r="H39" s="435"/>
      <c r="I39" s="435"/>
      <c r="J39" s="37"/>
      <c r="K39" s="210"/>
      <c r="L39" s="112" t="str">
        <f>IF('Stage 2'!K32&gt;0,'Data Tables'!K7,"")</f>
        <v/>
      </c>
      <c r="M39" s="115"/>
      <c r="N39" s="306" t="s">
        <v>206</v>
      </c>
      <c r="O39" s="86" t="s">
        <v>232</v>
      </c>
      <c r="P39" s="96"/>
      <c r="Q39" s="37"/>
      <c r="R39" s="37"/>
      <c r="S39" s="435" t="str">
        <f t="shared" si="0"/>
        <v>Woodland (e.g. conifer, mixed, broad-leaved)</v>
      </c>
      <c r="T39" s="435"/>
      <c r="U39" s="435"/>
      <c r="V39" s="435"/>
      <c r="W39" s="435"/>
      <c r="X39" s="306" t="s">
        <v>206</v>
      </c>
      <c r="Y39" s="187" t="str">
        <f>IF($X$15="Yes",(IF(X39="Yes",'Data Tables'!K7,0)),"")</f>
        <v/>
      </c>
      <c r="Z39" s="134"/>
    </row>
    <row r="40" spans="2:50" ht="16" customHeight="1" x14ac:dyDescent="0.3">
      <c r="B40" s="82"/>
      <c r="C40" s="75"/>
      <c r="D40" s="75"/>
      <c r="E40" s="435" t="str">
        <f>'Stage 2'!F33</f>
        <v>Greenspace</v>
      </c>
      <c r="F40" s="435"/>
      <c r="G40" s="435"/>
      <c r="H40" s="435"/>
      <c r="I40" s="435"/>
      <c r="J40" s="37"/>
      <c r="K40" s="210"/>
      <c r="L40" s="112" t="str">
        <f>IF('Stage 2'!K33&gt;0,'Data Tables'!K6,"")</f>
        <v/>
      </c>
      <c r="M40" s="115"/>
      <c r="N40" s="306" t="s">
        <v>206</v>
      </c>
      <c r="O40" s="86" t="s">
        <v>232</v>
      </c>
      <c r="P40" s="96"/>
      <c r="Q40" s="37"/>
      <c r="R40" s="37"/>
      <c r="S40" s="435" t="str">
        <f t="shared" si="0"/>
        <v>Greenspace</v>
      </c>
      <c r="T40" s="435"/>
      <c r="U40" s="435"/>
      <c r="V40" s="435"/>
      <c r="W40" s="435"/>
      <c r="X40" s="306" t="s">
        <v>206</v>
      </c>
      <c r="Y40" s="187" t="str">
        <f>IF($X$15="Yes",(IF(X40="Yes",'Data Tables'!K6,0)),"")</f>
        <v/>
      </c>
      <c r="Z40" s="134"/>
    </row>
    <row r="41" spans="2:50" ht="16" customHeight="1" x14ac:dyDescent="0.3">
      <c r="B41" s="82"/>
      <c r="C41" s="75"/>
      <c r="D41" s="75"/>
      <c r="E41" s="435" t="str">
        <f>'Stage 2'!F34</f>
        <v>shrub / heathland / bracken / bog</v>
      </c>
      <c r="F41" s="435"/>
      <c r="G41" s="435"/>
      <c r="H41" s="435"/>
      <c r="I41" s="435"/>
      <c r="J41" s="37"/>
      <c r="K41" s="210"/>
      <c r="L41" s="112" t="str">
        <f>IF('Stage 2'!K34&gt;0,'Data Tables'!K8,"")</f>
        <v/>
      </c>
      <c r="M41" s="115"/>
      <c r="N41" s="306" t="s">
        <v>206</v>
      </c>
      <c r="O41" s="86" t="s">
        <v>232</v>
      </c>
      <c r="P41" s="96"/>
      <c r="Q41" s="37"/>
      <c r="R41" s="37"/>
      <c r="S41" s="435" t="str">
        <f t="shared" si="0"/>
        <v>shrub / heathland / bracken / bog</v>
      </c>
      <c r="T41" s="435"/>
      <c r="U41" s="435"/>
      <c r="V41" s="435"/>
      <c r="W41" s="435"/>
      <c r="X41" s="306" t="s">
        <v>206</v>
      </c>
      <c r="Y41" s="187" t="str">
        <f>IF($X$15="Yes",(IF(X41="Yes",'Data Tables'!K8,0)),"")</f>
        <v/>
      </c>
      <c r="Z41" s="134"/>
    </row>
    <row r="42" spans="2:50" ht="15" customHeight="1" x14ac:dyDescent="0.3">
      <c r="B42" s="82"/>
      <c r="C42" s="75"/>
      <c r="D42" s="75"/>
      <c r="E42" s="435" t="str">
        <f>'Stage 2'!F35</f>
        <v>Water</v>
      </c>
      <c r="F42" s="435"/>
      <c r="G42" s="435"/>
      <c r="H42" s="435"/>
      <c r="I42" s="435"/>
      <c r="J42" s="37"/>
      <c r="K42" s="210"/>
      <c r="L42" s="112" t="str">
        <f>IF('Stage 2'!K35&gt;0,'Data Tables'!K9,"")</f>
        <v/>
      </c>
      <c r="M42" s="115"/>
      <c r="N42" s="306" t="s">
        <v>206</v>
      </c>
      <c r="O42" s="86" t="s">
        <v>232</v>
      </c>
      <c r="P42" s="96"/>
      <c r="Q42" s="37"/>
      <c r="R42" s="37"/>
      <c r="S42" s="435" t="str">
        <f t="shared" si="0"/>
        <v>Water</v>
      </c>
      <c r="T42" s="435"/>
      <c r="U42" s="435"/>
      <c r="V42" s="435"/>
      <c r="W42" s="435"/>
      <c r="X42" s="306" t="s">
        <v>206</v>
      </c>
      <c r="Y42" s="187" t="str">
        <f>IF($X$15="Yes",(IF(X42="Yes",'Data Tables'!K9,0)),"")</f>
        <v/>
      </c>
      <c r="Z42" s="134"/>
    </row>
    <row r="43" spans="2:50" ht="16" customHeight="1" x14ac:dyDescent="0.3">
      <c r="B43" s="82"/>
      <c r="C43" s="75"/>
      <c r="D43" s="75"/>
      <c r="E43" s="37"/>
      <c r="F43" s="38"/>
      <c r="G43" s="37"/>
      <c r="H43" s="37"/>
      <c r="I43" s="37"/>
      <c r="J43" s="37"/>
      <c r="K43" s="170"/>
      <c r="L43" s="115"/>
      <c r="M43" s="115"/>
      <c r="N43" s="37"/>
      <c r="O43" s="90"/>
      <c r="P43" s="96"/>
      <c r="Q43" s="37"/>
      <c r="R43" s="37"/>
      <c r="S43" s="37"/>
      <c r="T43" s="37"/>
      <c r="U43" s="37"/>
      <c r="V43" s="37"/>
      <c r="W43" s="37"/>
      <c r="X43" s="303"/>
      <c r="Y43" s="37"/>
      <c r="Z43" s="134"/>
    </row>
    <row r="44" spans="2:50" ht="17.5" customHeight="1" x14ac:dyDescent="0.3">
      <c r="B44" s="82"/>
      <c r="C44" s="75"/>
      <c r="D44" s="75"/>
      <c r="E44" s="437" t="s">
        <v>328</v>
      </c>
      <c r="F44" s="437"/>
      <c r="G44" s="437"/>
      <c r="H44" s="437"/>
      <c r="I44" s="437"/>
      <c r="J44" s="37"/>
      <c r="K44" s="37"/>
      <c r="L44" s="100">
        <f>IF(L15="Yes",(IF(N20="Yes",L20,0)+IF(N25="Yes",L25,0)+IF(N26="Yes",L26,0)+IF(N27="Yes",L27,0)+IF(N28="Yes",L28,0)+IF(N29="Yes",L29,0)+IF(N30="Yes",L30,0)+IF(N31="Yes",L31,0)+IF(N32="Yes",L32,0)+IF(N33="Yes",L33,0)+IF(N34="Yes",L34,0)+IF(N35="Yes",L35,0)+IF(N36="Yes",L36,0)+IF(N37="Yes",L37,0)+IF(N38="Yes",L38,0)+IF(N39="Yes",L39,0)+IF(N40="Yes",L40,0)+IF(N41="Yes",L41,0)+IF(N42="Yes",L42,0))/COUNTIF(N20:N42,"Yes"),0)</f>
        <v>0</v>
      </c>
      <c r="M44" s="115"/>
      <c r="N44" s="37"/>
      <c r="O44" s="90"/>
      <c r="P44" s="96"/>
      <c r="Q44" s="37"/>
      <c r="R44" s="37"/>
      <c r="S44" s="437" t="s">
        <v>329</v>
      </c>
      <c r="T44" s="437"/>
      <c r="U44" s="437"/>
      <c r="V44" s="437"/>
      <c r="W44" s="437"/>
      <c r="X44" s="186">
        <f>IF(X15="Yes",SUM(Y25:Y42)/(COUNTIF(X25:X42,"Yes")),0)</f>
        <v>0</v>
      </c>
      <c r="Y44" s="5"/>
      <c r="Z44" s="134"/>
    </row>
    <row r="45" spans="2:50" ht="16" customHeight="1" x14ac:dyDescent="0.3">
      <c r="B45" s="82"/>
      <c r="C45" s="75"/>
      <c r="D45" s="75"/>
      <c r="E45" s="305"/>
      <c r="F45" s="305"/>
      <c r="G45" s="305"/>
      <c r="H45" s="305"/>
      <c r="I45" s="305"/>
      <c r="J45" s="37"/>
      <c r="K45" s="37"/>
      <c r="L45" s="115"/>
      <c r="M45" s="115"/>
      <c r="N45" s="37"/>
      <c r="O45" s="90"/>
      <c r="P45" s="37"/>
      <c r="Q45" s="37"/>
      <c r="R45" s="37"/>
      <c r="S45" s="305"/>
      <c r="T45" s="305"/>
      <c r="U45" s="305"/>
      <c r="V45" s="305"/>
      <c r="W45" s="305"/>
      <c r="X45" s="192"/>
      <c r="Y45" s="192"/>
      <c r="Z45" s="134"/>
    </row>
    <row r="46" spans="2:50" ht="16" customHeight="1" x14ac:dyDescent="0.3">
      <c r="B46" s="82"/>
      <c r="C46" s="75"/>
      <c r="D46" s="75"/>
      <c r="E46" s="37"/>
      <c r="F46" s="38"/>
      <c r="G46" s="37"/>
      <c r="H46" s="37"/>
      <c r="I46" s="37"/>
      <c r="J46" s="37"/>
      <c r="K46" s="37"/>
      <c r="L46" s="115"/>
      <c r="M46" s="115"/>
      <c r="N46" s="37"/>
      <c r="O46" s="90"/>
      <c r="P46" s="303"/>
      <c r="Q46" s="303"/>
      <c r="R46" s="37"/>
      <c r="S46" s="37"/>
      <c r="T46" s="37"/>
      <c r="U46" s="37"/>
      <c r="V46" s="37"/>
      <c r="W46" s="37"/>
      <c r="X46" s="37"/>
      <c r="Y46" s="37"/>
      <c r="Z46" s="134"/>
    </row>
    <row r="47" spans="2:50" ht="16" customHeight="1" x14ac:dyDescent="0.3">
      <c r="B47" s="82"/>
      <c r="C47" s="75"/>
      <c r="D47" s="75"/>
      <c r="E47" s="37"/>
      <c r="F47" s="38"/>
      <c r="G47" s="37"/>
      <c r="H47" s="37"/>
      <c r="I47" s="437" t="s">
        <v>330</v>
      </c>
      <c r="J47" s="437"/>
      <c r="K47" s="437"/>
      <c r="L47" s="437"/>
      <c r="M47" s="437"/>
      <c r="N47" s="437"/>
      <c r="O47" s="437"/>
      <c r="P47" s="100" t="str">
        <f>IF(L44+X44&gt;0,L44+X44,"")</f>
        <v/>
      </c>
      <c r="Q47" s="115"/>
      <c r="R47" s="192"/>
      <c r="S47" s="37"/>
      <c r="T47" s="37"/>
      <c r="U47" s="37"/>
      <c r="V47" s="37"/>
      <c r="W47" s="37"/>
      <c r="X47" s="37"/>
      <c r="Y47" s="37"/>
      <c r="Z47" s="134"/>
    </row>
    <row r="48" spans="2:50" ht="16" customHeight="1" thickBot="1" x14ac:dyDescent="0.35">
      <c r="B48" s="82"/>
      <c r="C48" s="75"/>
      <c r="D48" s="137"/>
      <c r="E48" s="97"/>
      <c r="F48" s="97"/>
      <c r="G48" s="97"/>
      <c r="H48" s="97"/>
      <c r="I48" s="97"/>
      <c r="J48" s="97"/>
      <c r="K48" s="97"/>
      <c r="L48" s="97"/>
      <c r="M48" s="97"/>
      <c r="N48" s="97"/>
      <c r="O48" s="97"/>
      <c r="P48" s="97"/>
      <c r="Q48" s="97"/>
      <c r="R48" s="97"/>
      <c r="S48" s="97"/>
      <c r="T48" s="37"/>
      <c r="U48" s="113"/>
      <c r="V48" s="113"/>
      <c r="W48" s="113"/>
      <c r="X48" s="113"/>
      <c r="Y48" s="113"/>
      <c r="Z48" s="138"/>
    </row>
    <row r="49" spans="2:26" ht="11.5" customHeight="1" x14ac:dyDescent="0.3">
      <c r="B49" s="82"/>
      <c r="C49" s="75"/>
      <c r="D49" s="37"/>
      <c r="E49" s="37"/>
      <c r="F49" s="37"/>
      <c r="G49" s="37"/>
      <c r="H49" s="37"/>
      <c r="I49" s="37"/>
      <c r="J49" s="37"/>
      <c r="K49" s="37"/>
      <c r="L49" s="37"/>
      <c r="M49" s="37"/>
      <c r="N49" s="37"/>
      <c r="O49" s="37"/>
      <c r="P49" s="37"/>
      <c r="Q49" s="37"/>
      <c r="R49" s="37"/>
      <c r="S49" s="37"/>
      <c r="T49" s="139"/>
      <c r="U49" s="147"/>
      <c r="V49" s="147"/>
      <c r="W49" s="147"/>
      <c r="X49" s="147"/>
      <c r="Y49" s="147"/>
      <c r="Z49" s="147"/>
    </row>
    <row r="50" spans="2:26" ht="12.65" customHeight="1" x14ac:dyDescent="0.3">
      <c r="B50" s="82"/>
      <c r="C50" s="75"/>
      <c r="D50" s="37"/>
      <c r="E50" s="85" t="s">
        <v>218</v>
      </c>
      <c r="F50" s="401" t="s">
        <v>331</v>
      </c>
      <c r="G50" s="401"/>
      <c r="H50" s="401"/>
      <c r="I50" s="401"/>
      <c r="J50" s="401"/>
      <c r="K50" s="295"/>
      <c r="L50" s="303" t="s">
        <v>144</v>
      </c>
      <c r="M50" s="303"/>
      <c r="N50" s="303" t="s">
        <v>145</v>
      </c>
      <c r="O50" s="37"/>
      <c r="P50" s="37"/>
      <c r="Q50" s="37"/>
      <c r="R50" s="37"/>
      <c r="S50" s="37"/>
      <c r="T50" s="139"/>
      <c r="U50" s="147"/>
      <c r="V50" s="147"/>
      <c r="W50" s="147"/>
      <c r="X50" s="147"/>
      <c r="Y50" s="147"/>
      <c r="Z50" s="147"/>
    </row>
    <row r="51" spans="2:26" ht="13" customHeight="1" x14ac:dyDescent="0.3">
      <c r="B51" s="82"/>
      <c r="C51" s="75"/>
      <c r="D51" s="37"/>
      <c r="E51" s="37"/>
      <c r="F51" s="37"/>
      <c r="G51" s="37"/>
      <c r="H51" s="37"/>
      <c r="I51" s="37"/>
      <c r="J51" s="37"/>
      <c r="K51" s="37"/>
      <c r="L51" s="303"/>
      <c r="M51" s="303"/>
      <c r="N51" s="37"/>
      <c r="O51" s="37"/>
      <c r="P51" s="37"/>
      <c r="Q51" s="37"/>
      <c r="R51" s="37"/>
      <c r="S51" s="37"/>
      <c r="T51" s="139"/>
      <c r="U51" s="147"/>
      <c r="V51" s="147"/>
      <c r="W51" s="147"/>
      <c r="X51" s="147"/>
      <c r="Y51" s="147"/>
      <c r="Z51" s="147"/>
    </row>
    <row r="52" spans="2:26" ht="13" customHeight="1" x14ac:dyDescent="0.3">
      <c r="B52" s="82"/>
      <c r="C52" s="75"/>
      <c r="D52" s="37"/>
      <c r="E52" s="435" t="s">
        <v>295</v>
      </c>
      <c r="F52" s="435"/>
      <c r="G52" s="435"/>
      <c r="H52" s="435"/>
      <c r="I52" s="435"/>
      <c r="J52" s="37"/>
      <c r="K52" s="37"/>
      <c r="L52" s="145" t="e">
        <f>(1/(((P47-(-IF(L60&gt;0,L60,8))))/$L$10))</f>
        <v>#VALUE!</v>
      </c>
      <c r="M52" s="193"/>
      <c r="N52" s="86" t="s">
        <v>212</v>
      </c>
      <c r="O52" s="37"/>
      <c r="P52" s="37"/>
      <c r="Q52" s="37"/>
      <c r="R52" s="37"/>
      <c r="S52" s="37"/>
      <c r="T52" s="139"/>
      <c r="U52" s="147"/>
      <c r="V52" s="147"/>
      <c r="W52" s="147"/>
      <c r="X52" s="147"/>
      <c r="Y52" s="147"/>
      <c r="Z52" s="147"/>
    </row>
    <row r="53" spans="2:26" ht="14.5" customHeight="1" x14ac:dyDescent="0.3">
      <c r="B53" s="82"/>
      <c r="C53" s="75"/>
      <c r="D53" s="37"/>
      <c r="E53" s="435" t="s">
        <v>332</v>
      </c>
      <c r="F53" s="435"/>
      <c r="G53" s="435"/>
      <c r="H53" s="435"/>
      <c r="I53" s="435"/>
      <c r="J53" s="37"/>
      <c r="K53" s="37"/>
      <c r="L53" s="145" t="e">
        <f>(L10/($P$47-'Data Tables'!AI4))</f>
        <v>#VALUE!</v>
      </c>
      <c r="M53" s="193"/>
      <c r="N53" s="86" t="s">
        <v>212</v>
      </c>
      <c r="O53" s="37"/>
      <c r="P53" s="37"/>
      <c r="Q53" s="37"/>
      <c r="R53" s="37"/>
      <c r="S53" s="37"/>
      <c r="T53" s="139"/>
      <c r="U53" s="147"/>
      <c r="V53" s="147"/>
      <c r="W53" s="147"/>
      <c r="X53" s="147"/>
      <c r="Y53" s="147"/>
      <c r="Z53" s="147"/>
    </row>
    <row r="54" spans="2:26" ht="14.5" customHeight="1" x14ac:dyDescent="0.3">
      <c r="B54" s="82"/>
      <c r="C54" s="75"/>
      <c r="D54" s="37"/>
      <c r="E54" s="435" t="s">
        <v>71</v>
      </c>
      <c r="F54" s="435"/>
      <c r="G54" s="435"/>
      <c r="H54" s="435"/>
      <c r="I54" s="435"/>
      <c r="J54" s="303"/>
      <c r="K54" s="303"/>
      <c r="L54" s="145" t="e">
        <f>(1/(($P$47-'Data Tables'!K9)/$L$10))</f>
        <v>#VALUE!</v>
      </c>
      <c r="M54" s="193"/>
      <c r="N54" s="86" t="s">
        <v>212</v>
      </c>
      <c r="O54" s="140"/>
      <c r="P54" s="141"/>
      <c r="Q54" s="141"/>
      <c r="R54" s="86"/>
      <c r="S54" s="37"/>
      <c r="T54" s="139"/>
      <c r="U54" s="147"/>
      <c r="V54" s="147"/>
      <c r="W54" s="147"/>
      <c r="X54" s="147"/>
      <c r="Y54" s="147"/>
      <c r="Z54" s="147"/>
    </row>
    <row r="55" spans="2:26" ht="14.5" customHeight="1" x14ac:dyDescent="0.3">
      <c r="B55" s="82"/>
      <c r="C55" s="75"/>
      <c r="D55" s="37"/>
      <c r="E55" s="435" t="s">
        <v>67</v>
      </c>
      <c r="F55" s="435"/>
      <c r="G55" s="435"/>
      <c r="H55" s="435"/>
      <c r="I55" s="435"/>
      <c r="J55" s="303"/>
      <c r="K55" s="303"/>
      <c r="L55" s="145" t="e">
        <f>(1/(($P$47-'Data Tables'!K7)/$L$10))</f>
        <v>#VALUE!</v>
      </c>
      <c r="M55" s="193"/>
      <c r="N55" s="86" t="s">
        <v>212</v>
      </c>
      <c r="O55" s="140"/>
      <c r="P55" s="141"/>
      <c r="Q55" s="141"/>
      <c r="R55" s="86"/>
      <c r="S55" s="37"/>
      <c r="T55" s="139"/>
      <c r="U55" s="147"/>
      <c r="V55" s="147"/>
      <c r="W55" s="147"/>
      <c r="X55" s="147"/>
      <c r="Y55" s="147"/>
      <c r="Z55" s="147"/>
    </row>
    <row r="56" spans="2:26" ht="14.5" customHeight="1" x14ac:dyDescent="0.3">
      <c r="B56" s="82"/>
      <c r="C56" s="75"/>
      <c r="D56" s="37"/>
      <c r="E56" s="435" t="s">
        <v>333</v>
      </c>
      <c r="F56" s="435"/>
      <c r="G56" s="435"/>
      <c r="H56" s="435"/>
      <c r="I56" s="435"/>
      <c r="J56" s="303"/>
      <c r="K56" s="303"/>
      <c r="L56" s="145" t="e">
        <f>(1/(($P$47-'Data Tables'!K8)/$L$10))</f>
        <v>#VALUE!</v>
      </c>
      <c r="M56" s="193"/>
      <c r="N56" s="86" t="s">
        <v>212</v>
      </c>
      <c r="O56" s="140"/>
      <c r="P56" s="141"/>
      <c r="Q56" s="141"/>
      <c r="R56" s="86"/>
      <c r="S56" s="37"/>
      <c r="T56" s="139"/>
      <c r="U56" s="147"/>
      <c r="V56" s="147"/>
      <c r="W56" s="147"/>
      <c r="X56" s="147"/>
      <c r="Y56" s="147"/>
      <c r="Z56" s="147"/>
    </row>
    <row r="57" spans="2:26" ht="14.5" customHeight="1" x14ac:dyDescent="0.3">
      <c r="B57" s="82"/>
      <c r="C57" s="75"/>
      <c r="D57" s="37"/>
      <c r="E57" s="435" t="s">
        <v>334</v>
      </c>
      <c r="F57" s="435"/>
      <c r="G57" s="435"/>
      <c r="H57" s="435"/>
      <c r="I57" s="435"/>
      <c r="J57" s="303"/>
      <c r="K57" s="303"/>
      <c r="L57" s="145" t="e">
        <f>(1/(($P$47-'Data Tables'!K6)/$L$10))</f>
        <v>#VALUE!</v>
      </c>
      <c r="M57" s="193"/>
      <c r="N57" s="86" t="s">
        <v>212</v>
      </c>
      <c r="O57" s="140"/>
      <c r="P57" s="141"/>
      <c r="Q57" s="141"/>
      <c r="R57" s="86"/>
      <c r="S57" s="37"/>
      <c r="T57" s="139"/>
      <c r="U57" s="147"/>
      <c r="V57" s="147"/>
      <c r="W57" s="147"/>
      <c r="X57" s="147"/>
      <c r="Y57" s="147"/>
      <c r="Z57" s="147"/>
    </row>
    <row r="58" spans="2:26" ht="7.5" customHeight="1" x14ac:dyDescent="0.3">
      <c r="B58" s="82"/>
      <c r="C58" s="75"/>
      <c r="D58" s="37"/>
      <c r="E58" s="37"/>
      <c r="F58" s="37"/>
      <c r="G58" s="37"/>
      <c r="H58" s="37"/>
      <c r="I58" s="37"/>
      <c r="J58" s="37"/>
      <c r="K58" s="37"/>
      <c r="L58" s="37"/>
      <c r="M58" s="37"/>
      <c r="N58" s="37"/>
      <c r="O58" s="37"/>
      <c r="P58" s="37"/>
      <c r="Q58" s="37"/>
      <c r="R58" s="37"/>
      <c r="S58" s="37"/>
      <c r="T58" s="139"/>
      <c r="U58" s="147"/>
      <c r="V58" s="147"/>
      <c r="W58" s="147"/>
      <c r="X58" s="147"/>
      <c r="Y58" s="147"/>
      <c r="Z58" s="147"/>
    </row>
    <row r="59" spans="2:26" ht="16" customHeight="1" x14ac:dyDescent="0.3">
      <c r="B59" s="82"/>
      <c r="C59" s="75"/>
      <c r="D59" s="37"/>
      <c r="E59" s="37"/>
      <c r="F59" s="401" t="s">
        <v>335</v>
      </c>
      <c r="G59" s="401"/>
      <c r="H59" s="401"/>
      <c r="I59" s="401"/>
      <c r="J59" s="401"/>
      <c r="K59" s="295"/>
      <c r="L59" s="5"/>
      <c r="M59" s="5"/>
      <c r="N59" s="37"/>
      <c r="O59" s="37"/>
      <c r="P59" s="37"/>
      <c r="Q59" s="37"/>
      <c r="R59" s="37"/>
      <c r="S59" s="37"/>
      <c r="T59" s="139"/>
      <c r="U59" s="147"/>
      <c r="V59" s="147"/>
      <c r="W59" s="147"/>
      <c r="X59" s="147"/>
      <c r="Y59" s="147"/>
      <c r="Z59" s="147"/>
    </row>
    <row r="60" spans="2:26" ht="18" customHeight="1" x14ac:dyDescent="0.3">
      <c r="B60" s="82"/>
      <c r="C60" s="75"/>
      <c r="D60" s="37"/>
      <c r="E60" s="37"/>
      <c r="F60" s="37"/>
      <c r="G60" s="400" t="s">
        <v>336</v>
      </c>
      <c r="H60" s="400"/>
      <c r="I60" s="400"/>
      <c r="J60" s="400"/>
      <c r="K60" s="289"/>
      <c r="L60" s="306"/>
      <c r="M60" s="303"/>
      <c r="N60" s="86" t="s">
        <v>232</v>
      </c>
      <c r="O60" s="75"/>
      <c r="P60" s="37"/>
      <c r="Q60" s="37"/>
      <c r="R60" s="37"/>
      <c r="S60" s="37"/>
      <c r="T60" s="139"/>
      <c r="U60" s="147"/>
      <c r="V60" s="147"/>
      <c r="W60" s="147"/>
      <c r="X60" s="147"/>
      <c r="Y60" s="147"/>
      <c r="Z60" s="147"/>
    </row>
    <row r="61" spans="2:26" ht="38.15" customHeight="1" x14ac:dyDescent="0.3">
      <c r="B61" s="82"/>
      <c r="C61" s="75"/>
      <c r="D61" s="37"/>
      <c r="E61" s="405" t="s">
        <v>337</v>
      </c>
      <c r="F61" s="405"/>
      <c r="G61" s="405"/>
      <c r="H61" s="405"/>
      <c r="I61" s="405"/>
      <c r="J61" s="405"/>
      <c r="K61" s="405"/>
      <c r="L61" s="405"/>
      <c r="M61" s="405"/>
      <c r="N61" s="405"/>
      <c r="O61" s="405"/>
      <c r="P61" s="405"/>
      <c r="Q61" s="405"/>
      <c r="R61" s="405"/>
      <c r="S61" s="405"/>
      <c r="T61" s="139"/>
      <c r="U61" s="147"/>
      <c r="V61" s="147"/>
      <c r="W61" s="147"/>
      <c r="X61" s="147"/>
      <c r="Y61" s="147"/>
      <c r="Z61" s="147"/>
    </row>
    <row r="62" spans="2:26" ht="14.5" customHeight="1" x14ac:dyDescent="0.3">
      <c r="B62" s="82"/>
      <c r="C62" s="75"/>
      <c r="D62" s="37"/>
      <c r="E62" s="37"/>
      <c r="F62" s="37"/>
      <c r="G62" s="37"/>
      <c r="H62" s="37"/>
      <c r="I62" s="37"/>
      <c r="J62" s="37"/>
      <c r="K62" s="37"/>
      <c r="L62" s="5"/>
      <c r="M62" s="5"/>
      <c r="N62" s="37"/>
      <c r="O62" s="37"/>
      <c r="P62" s="5"/>
      <c r="Q62" s="5"/>
      <c r="R62" s="37"/>
      <c r="S62" s="37"/>
      <c r="T62" s="139"/>
      <c r="U62" s="147"/>
      <c r="V62" s="147"/>
      <c r="W62" s="147"/>
      <c r="X62" s="147"/>
      <c r="Y62" s="147"/>
      <c r="Z62" s="147"/>
    </row>
    <row r="63" spans="2:26" ht="10" customHeight="1" x14ac:dyDescent="0.3">
      <c r="B63" s="82"/>
      <c r="C63" s="75"/>
      <c r="D63" s="37"/>
      <c r="E63" s="85" t="s">
        <v>193</v>
      </c>
      <c r="F63" s="99" t="s">
        <v>338</v>
      </c>
      <c r="G63" s="37"/>
      <c r="H63" s="37"/>
      <c r="I63" s="37"/>
      <c r="J63" s="37"/>
      <c r="K63" s="37"/>
      <c r="L63" s="303" t="s">
        <v>144</v>
      </c>
      <c r="M63" s="303"/>
      <c r="N63" s="303" t="s">
        <v>145</v>
      </c>
      <c r="O63" s="303"/>
      <c r="P63" s="303" t="s">
        <v>144</v>
      </c>
      <c r="Q63" s="303"/>
      <c r="R63" s="303"/>
      <c r="S63" s="37"/>
      <c r="T63" s="139"/>
      <c r="U63" s="147"/>
      <c r="V63" s="147"/>
      <c r="W63" s="147"/>
      <c r="X63" s="147"/>
      <c r="Y63" s="147"/>
      <c r="Z63" s="147"/>
    </row>
    <row r="64" spans="2:26" ht="13.5" customHeight="1" x14ac:dyDescent="0.3">
      <c r="B64" s="82"/>
      <c r="C64" s="75"/>
      <c r="D64" s="37"/>
      <c r="E64" s="85"/>
      <c r="F64" s="99"/>
      <c r="G64" s="37"/>
      <c r="H64" s="37"/>
      <c r="I64" s="37"/>
      <c r="J64" s="37"/>
      <c r="K64" s="37"/>
      <c r="L64" s="303"/>
      <c r="M64" s="303"/>
      <c r="N64" s="37"/>
      <c r="O64" s="37"/>
      <c r="P64" s="303"/>
      <c r="Q64" s="303"/>
      <c r="R64" s="303"/>
      <c r="S64" s="37"/>
      <c r="T64" s="139"/>
      <c r="U64" s="147"/>
      <c r="V64" s="148"/>
      <c r="W64" s="147"/>
      <c r="X64" s="147"/>
      <c r="Y64" s="147"/>
      <c r="Z64" s="147"/>
    </row>
    <row r="65" spans="2:26" ht="19" customHeight="1" x14ac:dyDescent="0.3">
      <c r="B65" s="82"/>
      <c r="C65" s="75"/>
      <c r="D65" s="37"/>
      <c r="E65" s="435" t="s">
        <v>295</v>
      </c>
      <c r="F65" s="435"/>
      <c r="G65" s="435"/>
      <c r="H65" s="435"/>
      <c r="I65" s="435"/>
      <c r="J65" s="303"/>
      <c r="K65" s="303"/>
      <c r="L65" s="195"/>
      <c r="M65" s="141"/>
      <c r="N65" s="86" t="s">
        <v>190</v>
      </c>
      <c r="O65" s="140"/>
      <c r="P65" s="145" t="str">
        <f>IF(L65&gt;0,(1/(($P$47-(-IF(L60&gt;0,L60,8)))/L65)),"0")</f>
        <v>0</v>
      </c>
      <c r="Q65" s="193"/>
      <c r="R65" s="86" t="s">
        <v>212</v>
      </c>
      <c r="S65" s="37"/>
      <c r="T65" s="139"/>
      <c r="U65" s="147"/>
      <c r="V65" s="148"/>
      <c r="W65" s="147"/>
      <c r="X65" s="147"/>
      <c r="Y65" s="147"/>
      <c r="Z65" s="147"/>
    </row>
    <row r="66" spans="2:26" ht="22.5" customHeight="1" x14ac:dyDescent="0.3">
      <c r="B66" s="82"/>
      <c r="C66" s="75"/>
      <c r="D66" s="37"/>
      <c r="E66" s="435" t="s">
        <v>332</v>
      </c>
      <c r="F66" s="435"/>
      <c r="G66" s="435"/>
      <c r="H66" s="435"/>
      <c r="I66" s="435"/>
      <c r="J66" s="303"/>
      <c r="K66" s="303"/>
      <c r="L66" s="195"/>
      <c r="M66" s="141"/>
      <c r="N66" s="86" t="s">
        <v>190</v>
      </c>
      <c r="O66" s="140"/>
      <c r="P66" s="145" t="str">
        <f>IF(L66&gt;0,(1/(($P$47-'Data Tables'!AI4)/L66)),"0")</f>
        <v>0</v>
      </c>
      <c r="Q66" s="193"/>
      <c r="R66" s="86" t="s">
        <v>212</v>
      </c>
      <c r="S66" s="37"/>
      <c r="T66" s="139"/>
      <c r="U66" s="147"/>
      <c r="V66" s="147"/>
      <c r="W66" s="147"/>
      <c r="X66" s="147"/>
      <c r="Y66" s="147"/>
      <c r="Z66" s="147"/>
    </row>
    <row r="67" spans="2:26" ht="13.5" customHeight="1" x14ac:dyDescent="0.3">
      <c r="B67" s="82"/>
      <c r="C67" s="75"/>
      <c r="D67" s="37"/>
      <c r="E67" s="435" t="s">
        <v>71</v>
      </c>
      <c r="F67" s="435"/>
      <c r="G67" s="435"/>
      <c r="H67" s="435"/>
      <c r="I67" s="435"/>
      <c r="J67" s="303"/>
      <c r="K67" s="303"/>
      <c r="L67" s="195"/>
      <c r="M67" s="141"/>
      <c r="N67" s="86" t="s">
        <v>190</v>
      </c>
      <c r="O67" s="140"/>
      <c r="P67" s="145" t="str">
        <f>IF(L67&gt;0,(1/(($P$47-'Data Tables'!K9)/L67)),"0")</f>
        <v>0</v>
      </c>
      <c r="Q67" s="193"/>
      <c r="R67" s="86" t="s">
        <v>212</v>
      </c>
      <c r="S67" s="37"/>
      <c r="T67" s="139"/>
      <c r="U67" s="147"/>
      <c r="V67" s="148"/>
      <c r="W67" s="147"/>
      <c r="X67" s="147"/>
      <c r="Y67" s="147"/>
      <c r="Z67" s="147"/>
    </row>
    <row r="68" spans="2:26" ht="16.5" customHeight="1" x14ac:dyDescent="0.3">
      <c r="B68" s="82"/>
      <c r="C68" s="75"/>
      <c r="D68" s="37"/>
      <c r="E68" s="435" t="s">
        <v>67</v>
      </c>
      <c r="F68" s="435"/>
      <c r="G68" s="435"/>
      <c r="H68" s="435"/>
      <c r="I68" s="435"/>
      <c r="J68" s="303"/>
      <c r="K68" s="303"/>
      <c r="L68" s="195"/>
      <c r="M68" s="141"/>
      <c r="N68" s="86" t="s">
        <v>190</v>
      </c>
      <c r="O68" s="140"/>
      <c r="P68" s="145" t="str">
        <f>IF(L68&gt;0,(1/(($P$47-'Data Tables'!K7)/L68)),"0")</f>
        <v>0</v>
      </c>
      <c r="Q68" s="193"/>
      <c r="R68" s="86" t="s">
        <v>212</v>
      </c>
      <c r="S68" s="37"/>
      <c r="T68" s="139"/>
      <c r="U68" s="147"/>
      <c r="V68" s="147"/>
      <c r="W68" s="147"/>
      <c r="X68" s="147"/>
      <c r="Y68" s="147"/>
      <c r="Z68" s="147"/>
    </row>
    <row r="69" spans="2:26" ht="16.5" customHeight="1" x14ac:dyDescent="0.3">
      <c r="B69" s="82"/>
      <c r="C69" s="75"/>
      <c r="D69" s="37"/>
      <c r="E69" s="435" t="s">
        <v>333</v>
      </c>
      <c r="F69" s="435"/>
      <c r="G69" s="435"/>
      <c r="H69" s="435"/>
      <c r="I69" s="435"/>
      <c r="J69" s="303"/>
      <c r="K69" s="303"/>
      <c r="L69" s="195"/>
      <c r="M69" s="141"/>
      <c r="N69" s="86" t="s">
        <v>190</v>
      </c>
      <c r="O69" s="140"/>
      <c r="P69" s="145" t="str">
        <f>IF(L69&gt;0,(1/(($P$47-'Data Tables'!K8)/L69)),"0")</f>
        <v>0</v>
      </c>
      <c r="Q69" s="193"/>
      <c r="R69" s="86" t="s">
        <v>212</v>
      </c>
      <c r="S69" s="37"/>
      <c r="T69" s="139"/>
      <c r="U69" s="147"/>
      <c r="V69" s="147"/>
      <c r="W69" s="147"/>
      <c r="X69" s="147"/>
      <c r="Y69" s="147"/>
      <c r="Z69" s="147"/>
    </row>
    <row r="70" spans="2:26" ht="16.5" customHeight="1" x14ac:dyDescent="0.3">
      <c r="B70" s="82"/>
      <c r="C70" s="75"/>
      <c r="D70" s="37"/>
      <c r="E70" s="435" t="s">
        <v>334</v>
      </c>
      <c r="F70" s="435"/>
      <c r="G70" s="435"/>
      <c r="H70" s="435"/>
      <c r="I70" s="435"/>
      <c r="J70" s="303"/>
      <c r="K70" s="303"/>
      <c r="L70" s="195"/>
      <c r="M70" s="141"/>
      <c r="N70" s="86" t="s">
        <v>190</v>
      </c>
      <c r="O70" s="140"/>
      <c r="P70" s="145" t="str">
        <f>IF(L70&gt;0,(1/(($P$47-'Data Tables'!K6)/L70)),"0")</f>
        <v>0</v>
      </c>
      <c r="Q70" s="193"/>
      <c r="R70" s="86" t="s">
        <v>212</v>
      </c>
      <c r="S70" s="37"/>
      <c r="T70" s="139"/>
      <c r="U70" s="147"/>
      <c r="V70" s="147"/>
      <c r="W70" s="147"/>
      <c r="X70" s="147"/>
      <c r="Y70" s="147"/>
      <c r="Z70" s="147"/>
    </row>
    <row r="71" spans="2:26" ht="22" customHeight="1" x14ac:dyDescent="0.3">
      <c r="B71" s="82"/>
      <c r="C71" s="75"/>
      <c r="D71" s="37"/>
      <c r="E71" s="37"/>
      <c r="F71" s="37"/>
      <c r="G71" s="37"/>
      <c r="H71" s="37"/>
      <c r="I71" s="37"/>
      <c r="J71" s="37"/>
      <c r="K71" s="37"/>
      <c r="L71" s="37"/>
      <c r="M71" s="37"/>
      <c r="N71" s="86"/>
      <c r="O71" s="86"/>
      <c r="P71" s="142"/>
      <c r="Q71" s="142"/>
      <c r="R71" s="86"/>
      <c r="S71" s="37"/>
      <c r="T71" s="139"/>
      <c r="U71" s="147"/>
      <c r="V71" s="147"/>
      <c r="W71" s="147"/>
      <c r="X71" s="147"/>
      <c r="Y71" s="147"/>
      <c r="Z71" s="147"/>
    </row>
    <row r="72" spans="2:26" ht="15.65" customHeight="1" x14ac:dyDescent="0.3">
      <c r="B72" s="82"/>
      <c r="C72" s="75"/>
      <c r="D72" s="37"/>
      <c r="E72" s="37"/>
      <c r="F72" s="402" t="s">
        <v>339</v>
      </c>
      <c r="G72" s="402"/>
      <c r="H72" s="402"/>
      <c r="I72" s="402"/>
      <c r="J72" s="37"/>
      <c r="K72" s="37"/>
      <c r="L72" s="100">
        <f>L10-(SUM(L65:L70))</f>
        <v>0</v>
      </c>
      <c r="M72" s="115"/>
      <c r="N72" s="90" t="s">
        <v>192</v>
      </c>
      <c r="O72" s="90"/>
      <c r="P72" s="112">
        <f>SUM(P65:P70)</f>
        <v>0</v>
      </c>
      <c r="Q72" s="194"/>
      <c r="R72" s="90" t="s">
        <v>212</v>
      </c>
      <c r="S72" s="37"/>
      <c r="T72" s="139"/>
      <c r="U72" s="147"/>
      <c r="V72" s="147"/>
      <c r="W72" s="147"/>
      <c r="X72" s="147"/>
      <c r="Y72" s="147"/>
      <c r="Z72" s="147"/>
    </row>
    <row r="73" spans="2:26" ht="18" customHeight="1" x14ac:dyDescent="0.3">
      <c r="B73" s="82"/>
      <c r="C73" s="75"/>
      <c r="D73" s="37"/>
      <c r="E73" s="37"/>
      <c r="F73" s="37"/>
      <c r="G73" s="37"/>
      <c r="H73" s="37"/>
      <c r="I73" s="37"/>
      <c r="J73" s="37"/>
      <c r="K73" s="37"/>
      <c r="L73" s="37"/>
      <c r="M73" s="37"/>
      <c r="N73" s="37"/>
      <c r="O73" s="37"/>
      <c r="P73" s="37"/>
      <c r="Q73" s="37"/>
      <c r="R73" s="37"/>
      <c r="S73" s="37"/>
      <c r="T73" s="139"/>
      <c r="U73" s="147"/>
      <c r="V73" s="147"/>
      <c r="W73" s="147"/>
      <c r="X73" s="147"/>
      <c r="Y73" s="147"/>
      <c r="Z73" s="147"/>
    </row>
    <row r="74" spans="2:26" ht="33.65" customHeight="1" x14ac:dyDescent="0.3">
      <c r="B74" s="82"/>
      <c r="C74" s="75"/>
      <c r="D74" s="37"/>
      <c r="E74" s="405" t="s">
        <v>486</v>
      </c>
      <c r="F74" s="405"/>
      <c r="G74" s="405"/>
      <c r="H74" s="405"/>
      <c r="I74" s="405"/>
      <c r="J74" s="405"/>
      <c r="K74" s="405"/>
      <c r="L74" s="405"/>
      <c r="M74" s="405"/>
      <c r="N74" s="405"/>
      <c r="O74" s="405"/>
      <c r="P74" s="405"/>
      <c r="Q74" s="405"/>
      <c r="R74" s="405"/>
      <c r="S74" s="405"/>
      <c r="T74" s="139"/>
      <c r="U74" s="147"/>
      <c r="V74" s="147"/>
      <c r="W74" s="147"/>
      <c r="X74" s="147"/>
      <c r="Y74" s="147"/>
      <c r="Z74" s="147"/>
    </row>
    <row r="75" spans="2:26" ht="13" x14ac:dyDescent="0.3">
      <c r="B75" s="82"/>
      <c r="C75" s="75"/>
      <c r="D75" s="37"/>
      <c r="E75" s="37"/>
      <c r="F75" s="37"/>
      <c r="G75" s="37"/>
      <c r="H75" s="37"/>
      <c r="I75" s="37"/>
      <c r="J75" s="37"/>
      <c r="K75" s="37"/>
      <c r="L75" s="37"/>
      <c r="M75" s="37"/>
      <c r="N75" s="37"/>
      <c r="O75" s="37"/>
      <c r="P75" s="37"/>
      <c r="Q75" s="37"/>
      <c r="R75" s="37"/>
      <c r="S75" s="37"/>
      <c r="T75" s="139"/>
      <c r="U75" s="147"/>
      <c r="V75" s="147"/>
      <c r="W75" s="147"/>
      <c r="X75" s="147"/>
      <c r="Y75" s="147"/>
      <c r="Z75" s="147"/>
    </row>
    <row r="76" spans="2:26" ht="15.5" x14ac:dyDescent="0.3">
      <c r="B76" s="82"/>
      <c r="C76" s="75"/>
      <c r="D76" s="37"/>
      <c r="E76" s="85" t="s">
        <v>258</v>
      </c>
      <c r="F76" s="99" t="s">
        <v>338</v>
      </c>
      <c r="G76" s="37"/>
      <c r="H76" s="37"/>
      <c r="I76" s="37"/>
      <c r="J76" s="37"/>
      <c r="K76" s="37"/>
      <c r="L76" s="303" t="s">
        <v>144</v>
      </c>
      <c r="M76" s="303"/>
      <c r="N76" s="303" t="s">
        <v>145</v>
      </c>
      <c r="O76" s="303"/>
      <c r="P76" s="303" t="s">
        <v>144</v>
      </c>
      <c r="Q76" s="303"/>
      <c r="R76" s="303"/>
      <c r="S76" s="37"/>
      <c r="T76" s="139"/>
      <c r="U76" s="147"/>
      <c r="V76" s="147"/>
      <c r="W76" s="147"/>
      <c r="X76" s="147"/>
      <c r="Y76" s="147"/>
      <c r="Z76" s="147"/>
    </row>
    <row r="77" spans="2:26" ht="15.5" x14ac:dyDescent="0.3">
      <c r="B77" s="82"/>
      <c r="C77" s="75"/>
      <c r="D77" s="37"/>
      <c r="E77" s="85"/>
      <c r="F77" s="99"/>
      <c r="G77" s="37"/>
      <c r="H77" s="37"/>
      <c r="I77" s="37"/>
      <c r="J77" s="37"/>
      <c r="K77" s="37"/>
      <c r="L77" s="303"/>
      <c r="M77" s="303"/>
      <c r="N77" s="37"/>
      <c r="O77" s="37"/>
      <c r="P77" s="303"/>
      <c r="Q77" s="303"/>
      <c r="R77" s="303"/>
      <c r="S77" s="37"/>
      <c r="T77" s="139"/>
      <c r="U77" s="147"/>
      <c r="V77" s="147"/>
      <c r="W77" s="147"/>
      <c r="X77" s="147"/>
      <c r="Y77" s="147"/>
      <c r="Z77" s="147"/>
    </row>
    <row r="78" spans="2:26" ht="13" x14ac:dyDescent="0.3">
      <c r="B78" s="82"/>
      <c r="C78" s="75"/>
      <c r="D78" s="37"/>
      <c r="E78" s="435" t="s">
        <v>295</v>
      </c>
      <c r="F78" s="435"/>
      <c r="G78" s="435"/>
      <c r="H78" s="435"/>
      <c r="I78" s="435"/>
      <c r="J78" s="303"/>
      <c r="K78" s="303"/>
      <c r="L78" s="168"/>
      <c r="M78" s="193"/>
      <c r="N78" s="86" t="s">
        <v>340</v>
      </c>
      <c r="O78" s="140"/>
      <c r="P78" s="102" t="e">
        <f>L78*($P$47-(-IF(L60&gt;0,L60,8)))</f>
        <v>#VALUE!</v>
      </c>
      <c r="Q78" s="141"/>
      <c r="R78" s="86" t="s">
        <v>190</v>
      </c>
      <c r="S78" s="37"/>
      <c r="T78" s="139"/>
      <c r="U78" s="147"/>
      <c r="V78" s="147"/>
      <c r="W78" s="147"/>
      <c r="X78" s="147"/>
      <c r="Y78" s="147"/>
      <c r="Z78" s="147"/>
    </row>
    <row r="79" spans="2:26" ht="13" x14ac:dyDescent="0.3">
      <c r="B79" s="82"/>
      <c r="C79" s="75"/>
      <c r="D79" s="37"/>
      <c r="E79" s="435" t="s">
        <v>332</v>
      </c>
      <c r="F79" s="435"/>
      <c r="G79" s="435"/>
      <c r="H79" s="435"/>
      <c r="I79" s="435"/>
      <c r="J79" s="303"/>
      <c r="K79" s="303"/>
      <c r="L79" s="168"/>
      <c r="M79" s="193"/>
      <c r="N79" s="86" t="s">
        <v>340</v>
      </c>
      <c r="O79" s="140"/>
      <c r="P79" s="102" t="e">
        <f>L79*($P$47-'Data Tables'!AI4)</f>
        <v>#VALUE!</v>
      </c>
      <c r="Q79" s="141"/>
      <c r="R79" s="86" t="s">
        <v>190</v>
      </c>
      <c r="S79" s="37"/>
      <c r="T79" s="139"/>
      <c r="U79" s="147"/>
      <c r="V79" s="147"/>
      <c r="W79" s="147"/>
      <c r="X79" s="147"/>
      <c r="Y79" s="147"/>
      <c r="Z79" s="147"/>
    </row>
    <row r="80" spans="2:26" ht="13" x14ac:dyDescent="0.3">
      <c r="B80" s="82"/>
      <c r="C80" s="75"/>
      <c r="D80" s="37"/>
      <c r="E80" s="435" t="s">
        <v>71</v>
      </c>
      <c r="F80" s="435"/>
      <c r="G80" s="435"/>
      <c r="H80" s="435"/>
      <c r="I80" s="435"/>
      <c r="J80" s="303"/>
      <c r="K80" s="303"/>
      <c r="L80" s="168"/>
      <c r="M80" s="193"/>
      <c r="N80" s="86" t="s">
        <v>340</v>
      </c>
      <c r="O80" s="140"/>
      <c r="P80" s="102" t="e">
        <f>L80*($P$47-'Data Tables'!K9)</f>
        <v>#VALUE!</v>
      </c>
      <c r="Q80" s="141"/>
      <c r="R80" s="86" t="s">
        <v>190</v>
      </c>
      <c r="S80" s="37"/>
      <c r="T80" s="139"/>
      <c r="U80" s="147"/>
      <c r="V80" s="147"/>
      <c r="W80" s="147"/>
      <c r="X80" s="147"/>
      <c r="Y80" s="147"/>
      <c r="Z80" s="147"/>
    </row>
    <row r="81" spans="2:26" ht="13" x14ac:dyDescent="0.3">
      <c r="B81" s="82"/>
      <c r="C81" s="75"/>
      <c r="D81" s="37"/>
      <c r="E81" s="435" t="s">
        <v>67</v>
      </c>
      <c r="F81" s="435"/>
      <c r="G81" s="435"/>
      <c r="H81" s="435"/>
      <c r="I81" s="435"/>
      <c r="J81" s="303"/>
      <c r="K81" s="303"/>
      <c r="L81" s="168"/>
      <c r="M81" s="193"/>
      <c r="N81" s="86" t="s">
        <v>340</v>
      </c>
      <c r="O81" s="140"/>
      <c r="P81" s="102" t="e">
        <f>L81*($P$47-'Data Tables'!K7)</f>
        <v>#VALUE!</v>
      </c>
      <c r="Q81" s="141"/>
      <c r="R81" s="86" t="s">
        <v>190</v>
      </c>
      <c r="S81" s="37"/>
      <c r="T81" s="139"/>
      <c r="U81" s="147"/>
      <c r="V81" s="147"/>
      <c r="W81" s="147"/>
      <c r="X81" s="147"/>
      <c r="Y81" s="147"/>
      <c r="Z81" s="147"/>
    </row>
    <row r="82" spans="2:26" ht="13" x14ac:dyDescent="0.3">
      <c r="B82" s="82"/>
      <c r="C82" s="75"/>
      <c r="D82" s="37"/>
      <c r="E82" s="435" t="s">
        <v>333</v>
      </c>
      <c r="F82" s="435"/>
      <c r="G82" s="435"/>
      <c r="H82" s="435"/>
      <c r="I82" s="435"/>
      <c r="J82" s="303"/>
      <c r="K82" s="303"/>
      <c r="L82" s="168"/>
      <c r="M82" s="193"/>
      <c r="N82" s="86" t="s">
        <v>340</v>
      </c>
      <c r="O82" s="140"/>
      <c r="P82" s="102" t="e">
        <f>L82*($P$47-'Data Tables'!K8)</f>
        <v>#VALUE!</v>
      </c>
      <c r="Q82" s="141"/>
      <c r="R82" s="86" t="s">
        <v>190</v>
      </c>
      <c r="S82" s="37"/>
      <c r="T82" s="139"/>
      <c r="U82" s="147"/>
      <c r="V82" s="147"/>
      <c r="W82" s="147"/>
      <c r="X82" s="147"/>
      <c r="Y82" s="147"/>
      <c r="Z82" s="147"/>
    </row>
    <row r="83" spans="2:26" ht="13" x14ac:dyDescent="0.3">
      <c r="B83" s="82"/>
      <c r="C83" s="75"/>
      <c r="D83" s="37"/>
      <c r="E83" s="435" t="s">
        <v>334</v>
      </c>
      <c r="F83" s="435"/>
      <c r="G83" s="435"/>
      <c r="H83" s="435"/>
      <c r="I83" s="435"/>
      <c r="J83" s="303"/>
      <c r="K83" s="303"/>
      <c r="L83" s="168"/>
      <c r="M83" s="193"/>
      <c r="N83" s="86" t="s">
        <v>340</v>
      </c>
      <c r="O83" s="140"/>
      <c r="P83" s="102" t="e">
        <f>L83*($P$47-'Data Tables'!K6)</f>
        <v>#VALUE!</v>
      </c>
      <c r="Q83" s="141"/>
      <c r="R83" s="86" t="s">
        <v>190</v>
      </c>
      <c r="S83" s="37"/>
      <c r="T83" s="139"/>
      <c r="U83" s="147"/>
      <c r="V83" s="147"/>
      <c r="W83" s="147"/>
      <c r="X83" s="147"/>
      <c r="Y83" s="147"/>
      <c r="Z83" s="147"/>
    </row>
    <row r="84" spans="2:26" ht="30" customHeight="1" x14ac:dyDescent="0.3">
      <c r="B84" s="82"/>
      <c r="C84" s="75"/>
      <c r="D84" s="37"/>
      <c r="E84" s="37"/>
      <c r="F84" s="37"/>
      <c r="G84" s="37"/>
      <c r="H84" s="37"/>
      <c r="I84" s="37"/>
      <c r="J84" s="37"/>
      <c r="K84" s="37"/>
      <c r="L84" s="143"/>
      <c r="M84" s="143"/>
      <c r="N84" s="86"/>
      <c r="O84" s="86"/>
      <c r="P84" s="86"/>
      <c r="Q84" s="86"/>
      <c r="R84" s="86"/>
      <c r="S84" s="37"/>
      <c r="T84" s="139"/>
      <c r="U84" s="147"/>
      <c r="V84" s="147"/>
      <c r="W84" s="147"/>
      <c r="X84" s="147"/>
      <c r="Y84" s="147"/>
      <c r="Z84" s="147"/>
    </row>
    <row r="85" spans="2:26" ht="29.5" customHeight="1" x14ac:dyDescent="0.3">
      <c r="B85" s="82"/>
      <c r="C85" s="75"/>
      <c r="D85" s="37"/>
      <c r="E85" s="37"/>
      <c r="F85" s="402" t="s">
        <v>339</v>
      </c>
      <c r="G85" s="402"/>
      <c r="H85" s="402"/>
      <c r="I85" s="402"/>
      <c r="J85" s="37"/>
      <c r="K85" s="37"/>
      <c r="L85" s="112">
        <f>(SUM(L78:L83))</f>
        <v>0</v>
      </c>
      <c r="M85" s="194"/>
      <c r="N85" s="90" t="s">
        <v>340</v>
      </c>
      <c r="O85" s="90"/>
      <c r="P85" s="100" t="e">
        <f>L10-(SUM(P78:P83))</f>
        <v>#VALUE!</v>
      </c>
      <c r="Q85" s="115"/>
      <c r="R85" s="90" t="s">
        <v>192</v>
      </c>
      <c r="S85" s="37"/>
      <c r="T85" s="139"/>
      <c r="U85" s="147"/>
      <c r="V85" s="147"/>
      <c r="W85" s="147"/>
      <c r="X85" s="147"/>
      <c r="Y85" s="147"/>
      <c r="Z85" s="147"/>
    </row>
    <row r="86" spans="2:26" ht="15" customHeight="1" x14ac:dyDescent="0.3">
      <c r="B86" s="82"/>
      <c r="C86" s="75"/>
      <c r="D86" s="37"/>
      <c r="E86" s="37"/>
      <c r="F86" s="37"/>
      <c r="G86" s="37"/>
      <c r="H86" s="37"/>
      <c r="I86" s="37"/>
      <c r="J86" s="37"/>
      <c r="K86" s="37"/>
      <c r="L86" s="37"/>
      <c r="M86" s="37"/>
      <c r="N86" s="37"/>
      <c r="O86" s="37"/>
      <c r="P86" s="37"/>
      <c r="Q86" s="37"/>
      <c r="R86" s="37"/>
      <c r="S86" s="37"/>
      <c r="T86" s="139"/>
      <c r="U86" s="147"/>
      <c r="V86" s="147"/>
      <c r="W86" s="147"/>
      <c r="X86" s="147"/>
      <c r="Y86" s="147"/>
      <c r="Z86" s="147"/>
    </row>
    <row r="87" spans="2:26" ht="34" customHeight="1" thickBot="1" x14ac:dyDescent="0.35">
      <c r="B87" s="104"/>
      <c r="C87" s="105"/>
      <c r="D87" s="113"/>
      <c r="E87" s="434" t="s">
        <v>485</v>
      </c>
      <c r="F87" s="434"/>
      <c r="G87" s="434"/>
      <c r="H87" s="434"/>
      <c r="I87" s="434"/>
      <c r="J87" s="434"/>
      <c r="K87" s="434"/>
      <c r="L87" s="434"/>
      <c r="M87" s="434"/>
      <c r="N87" s="434"/>
      <c r="O87" s="434"/>
      <c r="P87" s="434"/>
      <c r="Q87" s="434"/>
      <c r="R87" s="434"/>
      <c r="S87" s="434"/>
      <c r="T87" s="144"/>
      <c r="U87" s="147"/>
      <c r="V87" s="147"/>
      <c r="W87" s="147"/>
      <c r="X87" s="147"/>
      <c r="Y87" s="147"/>
      <c r="Z87" s="147"/>
    </row>
    <row r="88" spans="2:26" ht="18" customHeight="1" x14ac:dyDescent="0.3">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96" spans="2:26" x14ac:dyDescent="0.25"/>
    <row r="97" x14ac:dyDescent="0.25"/>
    <row r="98" x14ac:dyDescent="0.25"/>
    <row r="99" x14ac:dyDescent="0.25"/>
    <row r="100" x14ac:dyDescent="0.25"/>
    <row r="101" x14ac:dyDescent="0.25"/>
  </sheetData>
  <sheetProtection algorithmName="SHA-512" hashValue="ycIkytnep0V1dYwFAp835WkNjNf/nMcc4G3PWmc+ojCcvQg2Yz/q5+bNVnX+GSjoLWO0FWmaM0zpUUQYOjx6aQ==" saltValue="faUnhuBY6pHrIw++woxMuA==" spinCount="100000" sheet="1" objects="1" scenarios="1" selectLockedCells="1"/>
  <mergeCells count="82">
    <mergeCell ref="F3:S3"/>
    <mergeCell ref="E4:S6"/>
    <mergeCell ref="F8:J8"/>
    <mergeCell ref="F13:J13"/>
    <mergeCell ref="L15:M15"/>
    <mergeCell ref="S15:W15"/>
    <mergeCell ref="E25:I25"/>
    <mergeCell ref="S25:W25"/>
    <mergeCell ref="E17:O17"/>
    <mergeCell ref="S17:X17"/>
    <mergeCell ref="F18:J18"/>
    <mergeCell ref="S18:X18"/>
    <mergeCell ref="F20:J20"/>
    <mergeCell ref="S20:W20"/>
    <mergeCell ref="S21:W21"/>
    <mergeCell ref="S22:W22"/>
    <mergeCell ref="R23:Z23"/>
    <mergeCell ref="F24:J24"/>
    <mergeCell ref="S24:W24"/>
    <mergeCell ref="E26:I26"/>
    <mergeCell ref="S26:W26"/>
    <mergeCell ref="E27:I27"/>
    <mergeCell ref="S27:W27"/>
    <mergeCell ref="E28:I28"/>
    <mergeCell ref="S28:W28"/>
    <mergeCell ref="E29:I29"/>
    <mergeCell ref="S29:W29"/>
    <mergeCell ref="E30:I30"/>
    <mergeCell ref="S30:W30"/>
    <mergeCell ref="E31:I31"/>
    <mergeCell ref="S31:W31"/>
    <mergeCell ref="E32:I32"/>
    <mergeCell ref="S32:W32"/>
    <mergeCell ref="E33:I33"/>
    <mergeCell ref="S33:W33"/>
    <mergeCell ref="E34:I34"/>
    <mergeCell ref="S34:W34"/>
    <mergeCell ref="E35:I35"/>
    <mergeCell ref="S35:W35"/>
    <mergeCell ref="E36:I36"/>
    <mergeCell ref="S36:W36"/>
    <mergeCell ref="E37:I37"/>
    <mergeCell ref="S37:W37"/>
    <mergeCell ref="E38:I38"/>
    <mergeCell ref="S38:W38"/>
    <mergeCell ref="E39:I39"/>
    <mergeCell ref="S39:W39"/>
    <mergeCell ref="E40:I40"/>
    <mergeCell ref="S40:W40"/>
    <mergeCell ref="E55:I55"/>
    <mergeCell ref="E41:I41"/>
    <mergeCell ref="S41:W41"/>
    <mergeCell ref="E42:I42"/>
    <mergeCell ref="S42:W42"/>
    <mergeCell ref="E44:I44"/>
    <mergeCell ref="S44:W44"/>
    <mergeCell ref="I47:O47"/>
    <mergeCell ref="F50:J50"/>
    <mergeCell ref="E52:I52"/>
    <mergeCell ref="E53:I53"/>
    <mergeCell ref="E54:I54"/>
    <mergeCell ref="F72:I72"/>
    <mergeCell ref="E56:I56"/>
    <mergeCell ref="E57:I57"/>
    <mergeCell ref="F59:J59"/>
    <mergeCell ref="G60:J60"/>
    <mergeCell ref="E61:S61"/>
    <mergeCell ref="E65:I65"/>
    <mergeCell ref="E66:I66"/>
    <mergeCell ref="E67:I67"/>
    <mergeCell ref="E68:I68"/>
    <mergeCell ref="E69:I69"/>
    <mergeCell ref="E70:I70"/>
    <mergeCell ref="E83:I83"/>
    <mergeCell ref="F85:I85"/>
    <mergeCell ref="E87:S87"/>
    <mergeCell ref="E74:S74"/>
    <mergeCell ref="E78:I78"/>
    <mergeCell ref="E79:I79"/>
    <mergeCell ref="E80:I80"/>
    <mergeCell ref="E81:I81"/>
    <mergeCell ref="E82:I82"/>
  </mergeCells>
  <dataValidations count="3">
    <dataValidation type="list" allowBlank="1" showInputMessage="1" showErrorMessage="1" sqref="X15 N20 L15:M15 X22 X25:X42 N25:N42" xr:uid="{FE400ABF-3FC6-4355-B1D2-5CB8AA5C4DC6}">
      <formula1>"Yes,No"</formula1>
    </dataValidation>
    <dataValidation type="list" allowBlank="1" showInputMessage="1" showErrorMessage="1" sqref="X20" xr:uid="{F7AF8A36-6FE0-4842-B9D7-888CC0E5697A}">
      <formula1>"Freely draining, Impermeable - drained for arable, Impermeable - drained for arable and grassland"</formula1>
    </dataValidation>
    <dataValidation type="list" allowBlank="1" showInputMessage="1" showErrorMessage="1" sqref="X21" xr:uid="{276115BD-A844-4E7D-A407-691F1209D5DA}">
      <formula1>"600-625, 625-650, 650-675, 675-700, 700-750, 750-800, 800-850, 850-900"</formula1>
    </dataValidation>
  </dataValidations>
  <pageMargins left="0.70866141732283472" right="0.70866141732283472" top="0.74803149606299213" bottom="0.74803149606299213" header="0.31496062992125984" footer="0.31496062992125984"/>
  <pageSetup paperSize="9" scale="33" orientation="landscape" r:id="rId1"/>
  <headerFooter>
    <oddHeader>&amp;LPhosphate Budget Calculator&amp;CStage 7&amp;R&amp;"Calibri"&amp;10&amp;KFF8C00Information Classification: CONTROLLED&amp;1#</oddHeader>
    <oddFooter>&amp;LVersion 1.0&amp;R&amp;D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F13BD-B39F-422F-9176-9130D47FCF77}">
  <sheetPr>
    <tabColor theme="8" tint="0.79998168889431442"/>
    <pageSetUpPr fitToPage="1"/>
  </sheetPr>
  <dimension ref="B1:S17"/>
  <sheetViews>
    <sheetView zoomScaleNormal="100" workbookViewId="0">
      <selection activeCell="F22" sqref="F22"/>
    </sheetView>
  </sheetViews>
  <sheetFormatPr defaultRowHeight="12.5" x14ac:dyDescent="0.25"/>
  <cols>
    <col min="2" max="3" width="0.81640625" customWidth="1"/>
    <col min="4" max="4" width="2.1796875" customWidth="1"/>
    <col min="6" max="6" width="8.1796875" customWidth="1"/>
    <col min="10" max="10" width="7.81640625" customWidth="1"/>
    <col min="11" max="11" width="18.1796875" customWidth="1"/>
    <col min="12" max="12" width="6.7265625" customWidth="1"/>
    <col min="13" max="13" width="17.26953125" customWidth="1"/>
    <col min="14" max="14" width="6.453125" customWidth="1"/>
    <col min="15" max="15" width="14.1796875" customWidth="1"/>
    <col min="16" max="16" width="5.7265625" customWidth="1"/>
    <col min="18" max="18" width="4.1796875" customWidth="1"/>
    <col min="19" max="19" width="0.81640625" customWidth="1"/>
  </cols>
  <sheetData>
    <row r="1" spans="2:19" ht="13" thickBot="1" x14ac:dyDescent="0.3"/>
    <row r="2" spans="2:19" ht="13" x14ac:dyDescent="0.3">
      <c r="B2" s="79"/>
      <c r="C2" s="149"/>
      <c r="D2" s="149"/>
      <c r="E2" s="149"/>
      <c r="F2" s="149"/>
      <c r="G2" s="149"/>
      <c r="H2" s="149"/>
      <c r="I2" s="149"/>
      <c r="J2" s="149"/>
      <c r="K2" s="149"/>
      <c r="L2" s="149"/>
      <c r="M2" s="149"/>
      <c r="N2" s="149"/>
      <c r="O2" s="149"/>
      <c r="P2" s="149"/>
      <c r="Q2" s="149"/>
      <c r="R2" s="149"/>
      <c r="S2" s="3"/>
    </row>
    <row r="3" spans="2:19" ht="14.5" x14ac:dyDescent="0.3">
      <c r="B3" s="82"/>
      <c r="C3" s="98"/>
      <c r="D3" s="40"/>
      <c r="E3" s="285" t="s">
        <v>357</v>
      </c>
      <c r="F3" s="411" t="s">
        <v>487</v>
      </c>
      <c r="G3" s="411"/>
      <c r="H3" s="411"/>
      <c r="I3" s="411"/>
      <c r="J3" s="411"/>
      <c r="K3" s="411"/>
      <c r="L3" s="411"/>
      <c r="M3" s="411"/>
      <c r="N3" s="411"/>
      <c r="O3" s="411"/>
      <c r="P3" s="411"/>
      <c r="Q3" s="291"/>
      <c r="R3" s="291"/>
      <c r="S3" s="6"/>
    </row>
    <row r="4" spans="2:19" ht="13" x14ac:dyDescent="0.3">
      <c r="B4" s="82"/>
      <c r="C4" s="294"/>
      <c r="D4" s="294"/>
      <c r="E4" s="93"/>
      <c r="F4" s="93"/>
      <c r="G4" s="93"/>
      <c r="H4" s="93"/>
      <c r="I4" s="93"/>
      <c r="J4" s="93"/>
      <c r="K4" s="93"/>
      <c r="L4" s="93"/>
      <c r="M4" s="93"/>
      <c r="N4" s="93"/>
      <c r="O4" s="93"/>
      <c r="P4" s="93"/>
      <c r="Q4" s="93"/>
      <c r="R4" s="93"/>
      <c r="S4" s="6"/>
    </row>
    <row r="5" spans="2:19" ht="15.65" customHeight="1" x14ac:dyDescent="0.3">
      <c r="B5" s="82"/>
      <c r="C5" s="294"/>
      <c r="D5" s="294"/>
      <c r="E5" s="85" t="s">
        <v>142</v>
      </c>
      <c r="F5" s="441" t="s">
        <v>358</v>
      </c>
      <c r="G5" s="441"/>
      <c r="H5" s="441"/>
      <c r="I5" s="441"/>
      <c r="J5" s="441"/>
      <c r="K5" s="150" t="s">
        <v>359</v>
      </c>
      <c r="L5" s="150"/>
      <c r="M5" s="150" t="s">
        <v>360</v>
      </c>
      <c r="N5" s="150"/>
      <c r="O5" s="150" t="s">
        <v>361</v>
      </c>
      <c r="P5" s="93"/>
      <c r="Q5" s="93"/>
      <c r="R5" s="93"/>
      <c r="S5" s="6"/>
    </row>
    <row r="6" spans="2:19" ht="26.5" customHeight="1" x14ac:dyDescent="0.3">
      <c r="B6" s="82"/>
      <c r="C6" s="37"/>
      <c r="D6" s="37"/>
      <c r="E6" s="93"/>
      <c r="F6" s="93"/>
      <c r="G6" s="93"/>
      <c r="H6" s="93"/>
      <c r="I6" s="93"/>
      <c r="J6" s="93"/>
      <c r="K6" s="294" t="s">
        <v>144</v>
      </c>
      <c r="L6" s="294"/>
      <c r="M6" s="294" t="s">
        <v>144</v>
      </c>
      <c r="N6" s="151"/>
      <c r="O6" s="294" t="s">
        <v>144</v>
      </c>
      <c r="P6" s="294"/>
      <c r="Q6" s="294" t="s">
        <v>362</v>
      </c>
      <c r="R6" s="93"/>
      <c r="S6" s="6"/>
    </row>
    <row r="7" spans="2:19" ht="13" x14ac:dyDescent="0.3">
      <c r="B7" s="82"/>
      <c r="C7" s="37"/>
      <c r="D7" s="37"/>
      <c r="E7" s="292"/>
      <c r="F7" s="435" t="s">
        <v>295</v>
      </c>
      <c r="G7" s="435"/>
      <c r="H7" s="435"/>
      <c r="I7" s="435"/>
      <c r="J7" s="435"/>
      <c r="K7" s="152">
        <f>IF('Mitigation - current'!L65&gt;0,'Mitigation - current'!P65,'Mitigation - current'!L78)</f>
        <v>0</v>
      </c>
      <c r="L7" s="292"/>
      <c r="M7" s="152">
        <f>IF('Mitigation - post 2030'!K64&gt;0,'Mitigation - post 2030'!O64,'Mitigation - post 2030'!K77)</f>
        <v>0</v>
      </c>
      <c r="N7" s="292"/>
      <c r="O7" s="152">
        <f t="shared" ref="O7:O12" si="0">M7-K7</f>
        <v>0</v>
      </c>
      <c r="P7" s="292"/>
      <c r="Q7" s="86" t="s">
        <v>212</v>
      </c>
      <c r="R7" s="292"/>
      <c r="S7" s="6"/>
    </row>
    <row r="8" spans="2:19" ht="15.5" x14ac:dyDescent="0.3">
      <c r="B8" s="82"/>
      <c r="C8" s="84"/>
      <c r="D8" s="84"/>
      <c r="E8" s="85"/>
      <c r="F8" s="435" t="s">
        <v>363</v>
      </c>
      <c r="G8" s="435"/>
      <c r="H8" s="435"/>
      <c r="I8" s="435"/>
      <c r="J8" s="435"/>
      <c r="K8" s="152">
        <f>IF('Mitigation - current'!L66&gt;0,'Mitigation - current'!P66,'Mitigation - current'!L79)</f>
        <v>0</v>
      </c>
      <c r="L8" s="303"/>
      <c r="M8" s="152">
        <f>IF('Mitigation - post 2030'!K65&gt;0,'Mitigation - post 2030'!O65,'Mitigation - post 2030'!K78)</f>
        <v>0</v>
      </c>
      <c r="N8" s="303"/>
      <c r="O8" s="152">
        <f t="shared" si="0"/>
        <v>0</v>
      </c>
      <c r="P8" s="37"/>
      <c r="Q8" s="86" t="s">
        <v>212</v>
      </c>
      <c r="R8" s="37"/>
      <c r="S8" s="6"/>
    </row>
    <row r="9" spans="2:19" ht="13" x14ac:dyDescent="0.3">
      <c r="B9" s="82"/>
      <c r="C9" s="37"/>
      <c r="D9" s="37"/>
      <c r="E9" s="37"/>
      <c r="F9" s="435" t="s">
        <v>364</v>
      </c>
      <c r="G9" s="435"/>
      <c r="H9" s="435"/>
      <c r="I9" s="435"/>
      <c r="J9" s="435"/>
      <c r="K9" s="152">
        <f>IF('Mitigation - current'!L67&gt;0,'Mitigation - current'!P67,'Mitigation - current'!L80)</f>
        <v>0</v>
      </c>
      <c r="L9" s="90"/>
      <c r="M9" s="152">
        <f>IF('Mitigation - post 2030'!K66&gt;0,'Mitigation - post 2030'!O66,'Mitigation - post 2030'!K79)</f>
        <v>0</v>
      </c>
      <c r="N9" s="90"/>
      <c r="O9" s="152">
        <f t="shared" si="0"/>
        <v>0</v>
      </c>
      <c r="P9" s="37"/>
      <c r="Q9" s="86" t="s">
        <v>212</v>
      </c>
      <c r="R9" s="37"/>
      <c r="S9" s="6"/>
    </row>
    <row r="10" spans="2:19" ht="13" x14ac:dyDescent="0.3">
      <c r="B10" s="82"/>
      <c r="C10" s="37"/>
      <c r="D10" s="37"/>
      <c r="E10" s="37"/>
      <c r="F10" s="435" t="s">
        <v>67</v>
      </c>
      <c r="G10" s="435"/>
      <c r="H10" s="435"/>
      <c r="I10" s="435"/>
      <c r="J10" s="435"/>
      <c r="K10" s="152">
        <f>IF('Mitigation - current'!L68&gt;0,'Mitigation - current'!P68,'Mitigation - current'!L81)</f>
        <v>0</v>
      </c>
      <c r="L10" s="37"/>
      <c r="M10" s="152">
        <f>IF('Mitigation - post 2030'!K67&gt;0,'Mitigation - post 2030'!O67,'Mitigation - post 2030'!K80)</f>
        <v>0</v>
      </c>
      <c r="N10" s="37"/>
      <c r="O10" s="152">
        <f t="shared" si="0"/>
        <v>0</v>
      </c>
      <c r="P10" s="37"/>
      <c r="Q10" s="86" t="s">
        <v>212</v>
      </c>
      <c r="R10" s="37"/>
      <c r="S10" s="6"/>
    </row>
    <row r="11" spans="2:19" ht="13" x14ac:dyDescent="0.3">
      <c r="B11" s="82"/>
      <c r="C11" s="37"/>
      <c r="D11" s="37"/>
      <c r="E11" s="37"/>
      <c r="F11" s="435" t="s">
        <v>333</v>
      </c>
      <c r="G11" s="435"/>
      <c r="H11" s="435"/>
      <c r="I11" s="435"/>
      <c r="J11" s="435"/>
      <c r="K11" s="152">
        <f>IF('Mitigation - current'!L69&gt;0,'Mitigation - current'!P69,'Mitigation - current'!L82)</f>
        <v>0</v>
      </c>
      <c r="L11" s="37"/>
      <c r="M11" s="152">
        <f>IF('Mitigation - post 2030'!K68&gt;0,'Mitigation - post 2030'!O68,'Mitigation - post 2030'!K81)</f>
        <v>0</v>
      </c>
      <c r="N11" s="37"/>
      <c r="O11" s="152">
        <f t="shared" si="0"/>
        <v>0</v>
      </c>
      <c r="P11" s="37"/>
      <c r="Q11" s="86" t="s">
        <v>212</v>
      </c>
      <c r="R11" s="37"/>
      <c r="S11" s="6"/>
    </row>
    <row r="12" spans="2:19" ht="13" x14ac:dyDescent="0.3">
      <c r="B12" s="82"/>
      <c r="C12" s="37"/>
      <c r="D12" s="37"/>
      <c r="E12" s="37"/>
      <c r="F12" s="435" t="s">
        <v>365</v>
      </c>
      <c r="G12" s="435"/>
      <c r="H12" s="435"/>
      <c r="I12" s="435"/>
      <c r="J12" s="435"/>
      <c r="K12" s="152">
        <f>IF('Mitigation - current'!L70&gt;0,'Mitigation - current'!P70,'Mitigation - current'!L83)</f>
        <v>0</v>
      </c>
      <c r="L12" s="37"/>
      <c r="M12" s="152">
        <f>IF('Mitigation - post 2030'!K69&gt;0,'Mitigation - post 2030'!O69,'Mitigation - post 2030'!K82)</f>
        <v>0</v>
      </c>
      <c r="N12" s="37"/>
      <c r="O12" s="152">
        <f t="shared" si="0"/>
        <v>0</v>
      </c>
      <c r="P12" s="37"/>
      <c r="Q12" s="86" t="s">
        <v>212</v>
      </c>
      <c r="R12" s="37"/>
      <c r="S12" s="6"/>
    </row>
    <row r="13" spans="2:19" ht="13" x14ac:dyDescent="0.3">
      <c r="B13" s="82"/>
      <c r="C13" s="37"/>
      <c r="D13" s="37"/>
      <c r="E13" s="37"/>
      <c r="F13" s="37"/>
      <c r="G13" s="37"/>
      <c r="H13" s="37"/>
      <c r="I13" s="37"/>
      <c r="J13" s="37"/>
      <c r="K13" s="303"/>
      <c r="L13" s="37"/>
      <c r="M13" s="303"/>
      <c r="N13" s="37"/>
      <c r="O13" s="303"/>
      <c r="P13" s="37"/>
      <c r="Q13" s="86"/>
      <c r="R13" s="37"/>
      <c r="S13" s="6"/>
    </row>
    <row r="14" spans="2:19" ht="15.5" x14ac:dyDescent="0.3">
      <c r="B14" s="82"/>
      <c r="C14" s="37"/>
      <c r="D14" s="37"/>
      <c r="E14" s="85"/>
      <c r="F14" s="298" t="s">
        <v>339</v>
      </c>
      <c r="G14" s="37"/>
      <c r="H14" s="37"/>
      <c r="I14" s="37"/>
      <c r="J14" s="37"/>
      <c r="K14" s="112">
        <f>SUM(K7:K12)</f>
        <v>0</v>
      </c>
      <c r="L14" s="303"/>
      <c r="M14" s="112">
        <f>SUM(M7:M12)</f>
        <v>0</v>
      </c>
      <c r="N14" s="37"/>
      <c r="O14" s="112">
        <f>SUM(O7:O12)</f>
        <v>0</v>
      </c>
      <c r="P14" s="37"/>
      <c r="Q14" s="90" t="s">
        <v>212</v>
      </c>
      <c r="R14" s="37"/>
      <c r="S14" s="6"/>
    </row>
    <row r="15" spans="2:19" ht="13" x14ac:dyDescent="0.3">
      <c r="B15" s="82"/>
      <c r="C15" s="37"/>
      <c r="D15" s="37"/>
      <c r="E15" s="37"/>
      <c r="F15" s="37"/>
      <c r="G15" s="37"/>
      <c r="H15" s="37"/>
      <c r="I15" s="37"/>
      <c r="J15" s="37"/>
      <c r="K15" s="37"/>
      <c r="L15" s="37"/>
      <c r="M15" s="37"/>
      <c r="N15" s="37"/>
      <c r="O15" s="37"/>
      <c r="P15" s="37"/>
      <c r="Q15" s="37"/>
      <c r="R15" s="37"/>
      <c r="S15" s="6"/>
    </row>
    <row r="16" spans="2:19" ht="12.65" customHeight="1" x14ac:dyDescent="0.3">
      <c r="B16" s="82"/>
      <c r="C16" s="37"/>
      <c r="D16" s="37"/>
      <c r="E16" s="405" t="s">
        <v>366</v>
      </c>
      <c r="F16" s="405"/>
      <c r="G16" s="405"/>
      <c r="H16" s="405"/>
      <c r="I16" s="405"/>
      <c r="J16" s="405"/>
      <c r="K16" s="405"/>
      <c r="L16" s="405"/>
      <c r="M16" s="405"/>
      <c r="N16" s="405"/>
      <c r="O16" s="405"/>
      <c r="P16" s="405"/>
      <c r="Q16" s="405"/>
      <c r="R16" s="37"/>
      <c r="S16" s="6"/>
    </row>
    <row r="17" spans="2:19" ht="13.5" thickBot="1" x14ac:dyDescent="0.35">
      <c r="B17" s="104"/>
      <c r="C17" s="113"/>
      <c r="D17" s="113"/>
      <c r="E17" s="434"/>
      <c r="F17" s="434"/>
      <c r="G17" s="434"/>
      <c r="H17" s="434"/>
      <c r="I17" s="434"/>
      <c r="J17" s="434"/>
      <c r="K17" s="434"/>
      <c r="L17" s="434"/>
      <c r="M17" s="434"/>
      <c r="N17" s="434"/>
      <c r="O17" s="434"/>
      <c r="P17" s="434"/>
      <c r="Q17" s="434"/>
      <c r="R17" s="307"/>
      <c r="S17" s="18"/>
    </row>
  </sheetData>
  <sheetProtection algorithmName="SHA-512" hashValue="2YBtxrSURfh6J28rVcZWdWADYszMUSeS3TNGtUeAcIuitWyfeFeP7ktQkaB2LjCKpglMxxrVzIRNaLnMS6Y9WA==" saltValue="7umPtTOxXz4FUi4H4fBujA=="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6" orientation="landscape" r:id="rId1"/>
  <headerFooter>
    <oddHeader>&amp;LPhosphate Budget Calculator&amp;CStage 7&amp;R&amp;"Calibri"&amp;10&amp;KFF8C00Information Classification: CONTROLLED&amp;1#</oddHeader>
    <oddFooter>&amp;LVersion 1.0&amp;R&amp;D</oddFooter>
  </headerFooter>
  <customProperties>
    <customPr name="SSC_SHEET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61A81-380D-4DB4-BE64-288E98DFCC8B}">
  <dimension ref="A1"/>
  <sheetViews>
    <sheetView zoomScale="160" zoomScaleNormal="160" workbookViewId="0"/>
  </sheetViews>
  <sheetFormatPr defaultRowHeight="12.5" x14ac:dyDescent="0.25"/>
  <sheetData/>
  <sheetProtection algorithmName="SHA-512" hashValue="3lXWNo7zH73Jipcx0fdzyhtdX3TQIEREVduZkdGWsTZNIYY956nLhsDcGKsuTppq6LKTCvr7wAkYqlo0jRiiIA==" saltValue="sgwEExWmnN+Ti5pHovI9EA==" spinCount="100000" sheet="1" objects="1" scenarios="1" selectLockedCells="1"/>
  <pageMargins left="0.7" right="0.7" top="0.75" bottom="0.75" header="0.3" footer="0.3"/>
  <pageSetup paperSize="9" orientation="portrait" horizontalDpi="1200" verticalDpi="1200" r:id="rId1"/>
  <customProperties>
    <customPr name="SSC_SHEET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2697-E527-4446-97B2-7CB2FF3A9419}">
  <sheetPr>
    <pageSetUpPr fitToPage="1"/>
  </sheetPr>
  <dimension ref="B1:V59"/>
  <sheetViews>
    <sheetView zoomScale="130" zoomScaleNormal="130" workbookViewId="0">
      <selection activeCell="G11" sqref="G11"/>
    </sheetView>
  </sheetViews>
  <sheetFormatPr defaultRowHeight="12.5" x14ac:dyDescent="0.25"/>
  <cols>
    <col min="1" max="1" width="2.7265625" customWidth="1"/>
    <col min="2" max="3" width="0.81640625" customWidth="1"/>
    <col min="4" max="4" width="6.453125" hidden="1" customWidth="1"/>
    <col min="5" max="5" width="1" customWidth="1"/>
    <col min="6" max="6" width="5.54296875" customWidth="1"/>
    <col min="7" max="7" width="26" customWidth="1"/>
    <col min="10" max="10" width="8.81640625" customWidth="1"/>
    <col min="11" max="11" width="7.453125" customWidth="1"/>
    <col min="12" max="12" width="8.54296875" customWidth="1"/>
    <col min="13" max="13" width="3.26953125" customWidth="1"/>
    <col min="14" max="14" width="2.1796875" customWidth="1"/>
    <col min="15" max="15" width="8.81640625" customWidth="1"/>
    <col min="16" max="16" width="4.81640625" customWidth="1"/>
    <col min="17" max="17" width="6.54296875" customWidth="1"/>
    <col min="18" max="18" width="9.453125" customWidth="1"/>
    <col min="19" max="19" width="5.26953125" customWidth="1"/>
    <col min="20" max="20" width="9.81640625" customWidth="1"/>
    <col min="21" max="21" width="10.54296875" customWidth="1"/>
    <col min="22" max="22" width="10.1796875" customWidth="1"/>
    <col min="23" max="23" width="15.7265625" customWidth="1"/>
  </cols>
  <sheetData>
    <row r="1" spans="2:22" ht="13" thickBot="1" x14ac:dyDescent="0.3"/>
    <row r="2" spans="2:22" ht="3.65" customHeight="1" x14ac:dyDescent="0.25">
      <c r="B2" s="1"/>
      <c r="C2" s="2"/>
      <c r="D2" s="2"/>
      <c r="E2" s="2"/>
      <c r="F2" s="2"/>
      <c r="G2" s="2"/>
      <c r="H2" s="2"/>
      <c r="I2" s="2"/>
      <c r="J2" s="2"/>
      <c r="K2" s="2"/>
      <c r="L2" s="2"/>
      <c r="M2" s="2"/>
      <c r="N2" s="2"/>
      <c r="O2" s="2"/>
      <c r="P2" s="2"/>
      <c r="Q2" s="2"/>
      <c r="R2" s="2"/>
      <c r="S2" s="2"/>
      <c r="T2" s="2"/>
      <c r="U2" s="2"/>
      <c r="V2" s="3"/>
    </row>
    <row r="3" spans="2:22" ht="28.5" customHeight="1" x14ac:dyDescent="0.3">
      <c r="B3" s="4"/>
      <c r="E3" s="75"/>
      <c r="F3" s="421" t="s">
        <v>367</v>
      </c>
      <c r="G3" s="421"/>
      <c r="H3" s="421"/>
      <c r="I3" s="421"/>
      <c r="J3" s="421"/>
      <c r="K3" s="421"/>
      <c r="L3" s="421"/>
      <c r="M3" s="421"/>
      <c r="N3" s="421"/>
      <c r="O3" s="421"/>
      <c r="P3" s="421"/>
      <c r="Q3" s="421"/>
      <c r="R3" s="421"/>
      <c r="S3" s="421"/>
      <c r="T3" s="421"/>
      <c r="U3" s="421"/>
      <c r="V3" s="83"/>
    </row>
    <row r="4" spans="2:22" ht="2.15" customHeight="1" x14ac:dyDescent="0.3">
      <c r="B4" s="4"/>
      <c r="C4" s="11"/>
      <c r="E4" s="75"/>
      <c r="F4" s="75"/>
      <c r="G4" s="75"/>
      <c r="H4" s="75"/>
      <c r="I4" s="75"/>
      <c r="J4" s="75"/>
      <c r="K4" s="75"/>
      <c r="L4" s="75"/>
      <c r="M4" s="75"/>
      <c r="N4" s="75"/>
      <c r="O4" s="75"/>
      <c r="P4" s="75"/>
      <c r="Q4" s="75"/>
      <c r="R4" s="75"/>
      <c r="S4" s="75"/>
      <c r="T4" s="75"/>
      <c r="U4" s="75"/>
      <c r="V4" s="83"/>
    </row>
    <row r="5" spans="2:22" ht="18.5" x14ac:dyDescent="0.3">
      <c r="B5" s="4"/>
      <c r="C5" s="11"/>
      <c r="E5" s="75"/>
      <c r="F5" s="75"/>
      <c r="G5" s="444" t="e">
        <f>IF(AND(T15&gt;0,T15&lt;100),"Proposed development has a 'Zero' value","Proposed development does not have a 'Zero' value")</f>
        <v>#DIV/0!</v>
      </c>
      <c r="H5" s="444"/>
      <c r="I5" s="444"/>
      <c r="J5" s="444"/>
      <c r="K5" s="444"/>
      <c r="L5" s="444"/>
      <c r="M5" s="444"/>
      <c r="N5" s="444"/>
      <c r="O5" s="444"/>
      <c r="P5" s="444"/>
      <c r="Q5" s="444"/>
      <c r="R5" s="444"/>
      <c r="S5" s="444"/>
      <c r="T5" s="444"/>
      <c r="U5" s="444"/>
      <c r="V5" s="83"/>
    </row>
    <row r="6" spans="2:22" ht="24.65" customHeight="1" x14ac:dyDescent="0.3">
      <c r="B6" s="4"/>
      <c r="C6" s="5"/>
      <c r="E6" s="75"/>
      <c r="F6" s="75"/>
      <c r="G6" s="5"/>
      <c r="H6" s="5"/>
      <c r="I6" s="5"/>
      <c r="J6" s="5"/>
      <c r="K6" s="5"/>
      <c r="L6" s="5"/>
      <c r="M6" s="5"/>
      <c r="N6" s="5"/>
      <c r="O6" s="5"/>
      <c r="P6" s="5"/>
      <c r="Q6" s="5"/>
      <c r="R6" s="5"/>
      <c r="S6" s="5"/>
      <c r="T6" s="5"/>
      <c r="U6" s="5"/>
      <c r="V6" s="83"/>
    </row>
    <row r="7" spans="2:22" ht="11.15" customHeight="1" x14ac:dyDescent="0.3">
      <c r="B7" s="4"/>
      <c r="C7" s="5"/>
      <c r="E7" s="75"/>
      <c r="F7" s="75"/>
      <c r="G7" s="405" t="s">
        <v>368</v>
      </c>
      <c r="H7" s="405"/>
      <c r="I7" s="405"/>
      <c r="J7" s="405"/>
      <c r="K7" s="405"/>
      <c r="L7" s="405"/>
      <c r="M7" s="405"/>
      <c r="N7" s="405"/>
      <c r="O7" s="405"/>
      <c r="P7" s="405"/>
      <c r="Q7" s="405"/>
      <c r="R7" s="405"/>
      <c r="S7" s="405"/>
      <c r="T7" s="405"/>
      <c r="U7" s="405"/>
      <c r="V7" s="83"/>
    </row>
    <row r="8" spans="2:22" ht="11.15" customHeight="1" x14ac:dyDescent="0.3">
      <c r="B8" s="4"/>
      <c r="C8" s="5"/>
      <c r="E8" s="75"/>
      <c r="F8" s="75"/>
      <c r="G8" s="405"/>
      <c r="H8" s="405"/>
      <c r="I8" s="405"/>
      <c r="J8" s="405"/>
      <c r="K8" s="405"/>
      <c r="L8" s="405"/>
      <c r="M8" s="405"/>
      <c r="N8" s="405"/>
      <c r="O8" s="405"/>
      <c r="P8" s="405"/>
      <c r="Q8" s="405"/>
      <c r="R8" s="405"/>
      <c r="S8" s="405"/>
      <c r="T8" s="405"/>
      <c r="U8" s="405"/>
      <c r="V8" s="83"/>
    </row>
    <row r="9" spans="2:22" ht="11.15" customHeight="1" x14ac:dyDescent="0.3">
      <c r="B9" s="4"/>
      <c r="C9" s="5"/>
      <c r="E9" s="75"/>
      <c r="F9" s="75"/>
      <c r="G9" s="405"/>
      <c r="H9" s="405"/>
      <c r="I9" s="405"/>
      <c r="J9" s="405"/>
      <c r="K9" s="405"/>
      <c r="L9" s="405"/>
      <c r="M9" s="405"/>
      <c r="N9" s="405"/>
      <c r="O9" s="405"/>
      <c r="P9" s="405"/>
      <c r="Q9" s="405"/>
      <c r="R9" s="405"/>
      <c r="S9" s="405"/>
      <c r="T9" s="405"/>
      <c r="U9" s="405"/>
      <c r="V9" s="83"/>
    </row>
    <row r="10" spans="2:22" ht="12" customHeight="1" x14ac:dyDescent="0.3">
      <c r="B10" s="4"/>
      <c r="C10" s="5"/>
      <c r="E10" s="75"/>
      <c r="F10" s="75"/>
      <c r="G10" s="443" t="s">
        <v>369</v>
      </c>
      <c r="H10" s="443"/>
      <c r="I10" s="443"/>
      <c r="J10" s="443"/>
      <c r="K10" s="443"/>
      <c r="L10" s="443"/>
      <c r="M10" s="443"/>
      <c r="N10" s="443"/>
      <c r="O10" s="443"/>
      <c r="P10" s="443"/>
      <c r="Q10" s="443"/>
      <c r="R10" s="443"/>
      <c r="S10" s="443"/>
      <c r="T10" s="443"/>
      <c r="U10" s="443"/>
      <c r="V10" s="83"/>
    </row>
    <row r="11" spans="2:22" ht="12" customHeight="1" x14ac:dyDescent="0.3">
      <c r="B11" s="4"/>
      <c r="C11" s="5"/>
      <c r="E11" s="75"/>
      <c r="F11" s="75"/>
      <c r="G11" s="240" t="s">
        <v>370</v>
      </c>
      <c r="H11" s="75"/>
      <c r="I11" s="75"/>
      <c r="J11" s="75"/>
      <c r="K11" s="75"/>
      <c r="L11" s="75"/>
      <c r="M11" s="75"/>
      <c r="N11" s="75"/>
      <c r="O11" s="75"/>
      <c r="P11" s="75"/>
      <c r="Q11" s="75"/>
      <c r="R11" s="75"/>
      <c r="S11" s="75"/>
      <c r="T11" s="75"/>
      <c r="U11" s="75"/>
      <c r="V11" s="83"/>
    </row>
    <row r="12" spans="2:22" ht="12" customHeight="1" x14ac:dyDescent="0.3">
      <c r="B12" s="4"/>
      <c r="C12" s="5"/>
      <c r="E12" s="75"/>
      <c r="F12" s="75"/>
      <c r="G12" s="75"/>
      <c r="H12" s="75"/>
      <c r="I12" s="75"/>
      <c r="J12" s="75"/>
      <c r="K12" s="75"/>
      <c r="L12" s="75"/>
      <c r="M12" s="75"/>
      <c r="N12" s="75"/>
      <c r="O12" s="75"/>
      <c r="P12" s="75"/>
      <c r="Q12" s="75"/>
      <c r="R12" s="75"/>
      <c r="S12" s="75"/>
      <c r="T12" s="75"/>
      <c r="U12" s="75"/>
      <c r="V12" s="83"/>
    </row>
    <row r="13" spans="2:22" ht="13" x14ac:dyDescent="0.3">
      <c r="B13" s="4"/>
      <c r="C13" s="5"/>
      <c r="E13" s="75"/>
      <c r="F13" s="75"/>
      <c r="G13" s="437" t="s">
        <v>371</v>
      </c>
      <c r="H13" s="437"/>
      <c r="I13" s="437"/>
      <c r="J13" s="437"/>
      <c r="K13" s="437"/>
      <c r="L13" s="437"/>
      <c r="M13" s="98"/>
      <c r="N13" s="37"/>
      <c r="O13" s="442" t="s">
        <v>372</v>
      </c>
      <c r="P13" s="442"/>
      <c r="Q13" s="442"/>
      <c r="R13" s="442"/>
      <c r="S13" s="442"/>
      <c r="T13" s="442"/>
      <c r="U13" s="442"/>
      <c r="V13" s="83"/>
    </row>
    <row r="14" spans="2:22" ht="13" x14ac:dyDescent="0.3">
      <c r="B14" s="4"/>
      <c r="C14" s="5"/>
      <c r="E14" s="75"/>
      <c r="F14" s="75"/>
      <c r="G14" s="75"/>
      <c r="H14" s="75"/>
      <c r="I14" s="75"/>
      <c r="J14" s="75"/>
      <c r="K14" s="75" t="s">
        <v>144</v>
      </c>
      <c r="L14" s="75" t="s">
        <v>362</v>
      </c>
      <c r="M14" s="75"/>
      <c r="N14" s="75"/>
      <c r="O14" s="75"/>
      <c r="P14" s="75"/>
      <c r="Q14" s="75"/>
      <c r="R14" s="75"/>
      <c r="S14" s="75"/>
      <c r="T14" s="303" t="s">
        <v>144</v>
      </c>
      <c r="U14" s="303" t="s">
        <v>362</v>
      </c>
      <c r="V14" s="83"/>
    </row>
    <row r="15" spans="2:22" ht="12" customHeight="1" x14ac:dyDescent="0.3">
      <c r="B15" s="4"/>
      <c r="C15" s="5"/>
      <c r="E15" s="75"/>
      <c r="F15" s="75"/>
      <c r="G15" s="400" t="s">
        <v>373</v>
      </c>
      <c r="H15" s="400"/>
      <c r="I15" s="400"/>
      <c r="J15" s="400"/>
      <c r="K15" s="123">
        <f>'Stage 1'!W11+'Stage 1'!W14+'Stage 1'!W17</f>
        <v>0</v>
      </c>
      <c r="L15" s="117" t="s">
        <v>147</v>
      </c>
      <c r="M15" s="75"/>
      <c r="N15" s="75"/>
      <c r="O15" s="400" t="s">
        <v>374</v>
      </c>
      <c r="P15" s="400"/>
      <c r="Q15" s="400"/>
      <c r="R15" s="400"/>
      <c r="S15" s="400"/>
      <c r="T15" s="124" t="e">
        <f>-(INTERCEPT('Graph Calculations'!F14:Z14,'Graph Calculations'!F5:Z5))/(SLOPE('Graph Calculations'!F14:Z14,'Graph Calculations'!F5:Z5))</f>
        <v>#DIV/0!</v>
      </c>
      <c r="U15" s="118" t="s">
        <v>155</v>
      </c>
      <c r="V15" s="83"/>
    </row>
    <row r="16" spans="2:22" ht="13" x14ac:dyDescent="0.3">
      <c r="B16" s="4"/>
      <c r="C16" s="5"/>
      <c r="E16" s="75"/>
      <c r="F16" s="75"/>
      <c r="G16" s="400" t="s">
        <v>375</v>
      </c>
      <c r="H16" s="400"/>
      <c r="I16" s="400"/>
      <c r="J16" s="400"/>
      <c r="K16" s="124">
        <f>'Stage 2'!K37</f>
        <v>0</v>
      </c>
      <c r="L16" s="117" t="s">
        <v>212</v>
      </c>
      <c r="M16" s="75"/>
      <c r="N16" s="75"/>
      <c r="O16" s="400" t="s">
        <v>376</v>
      </c>
      <c r="P16" s="400"/>
      <c r="Q16" s="400"/>
      <c r="R16" s="400"/>
      <c r="S16" s="400"/>
      <c r="T16" s="124" t="e">
        <f>-'Graph Calculations'!AB11</f>
        <v>#DIV/0!</v>
      </c>
      <c r="U16" s="118" t="s">
        <v>192</v>
      </c>
      <c r="V16" s="83"/>
    </row>
    <row r="17" spans="2:22" ht="4" customHeight="1" x14ac:dyDescent="0.3">
      <c r="B17" s="4"/>
      <c r="C17" s="5"/>
      <c r="E17" s="75"/>
      <c r="F17" s="75"/>
      <c r="G17" s="37"/>
      <c r="H17" s="75"/>
      <c r="I17" s="75"/>
      <c r="J17" s="75"/>
      <c r="K17" s="37"/>
      <c r="L17" s="76"/>
      <c r="M17" s="75"/>
      <c r="N17" s="75"/>
      <c r="O17" s="37"/>
      <c r="P17" s="75"/>
      <c r="Q17" s="75"/>
      <c r="R17" s="75"/>
      <c r="S17" s="75"/>
      <c r="T17" s="37"/>
      <c r="U17" s="75"/>
      <c r="V17" s="83"/>
    </row>
    <row r="18" spans="2:22" ht="13" x14ac:dyDescent="0.3">
      <c r="B18" s="4"/>
      <c r="C18" s="5"/>
      <c r="E18" s="75"/>
      <c r="F18" s="75"/>
      <c r="G18" s="402" t="s">
        <v>377</v>
      </c>
      <c r="H18" s="402"/>
      <c r="I18" s="402"/>
      <c r="J18" s="402"/>
      <c r="K18" s="402"/>
      <c r="L18" s="76"/>
      <c r="M18" s="75"/>
      <c r="N18" s="75"/>
      <c r="O18" s="402" t="s">
        <v>378</v>
      </c>
      <c r="P18" s="402"/>
      <c r="Q18" s="402"/>
      <c r="R18" s="402"/>
      <c r="S18" s="402"/>
      <c r="T18" s="125" t="e">
        <f>IF('Graph Calculations'!AB12&gt;$K$15,$K$15,'Graph Calculations'!AB12)</f>
        <v>#DIV/0!</v>
      </c>
      <c r="U18" s="119" t="s">
        <v>147</v>
      </c>
      <c r="V18" s="83"/>
    </row>
    <row r="19" spans="2:22" ht="13" x14ac:dyDescent="0.3">
      <c r="B19" s="4"/>
      <c r="C19" s="5"/>
      <c r="E19" s="75"/>
      <c r="F19" s="75"/>
      <c r="G19" s="400" t="s">
        <v>379</v>
      </c>
      <c r="H19" s="400"/>
      <c r="I19" s="400"/>
      <c r="J19" s="400"/>
      <c r="K19" s="124">
        <f>'Stage 2'!K42</f>
        <v>0</v>
      </c>
      <c r="L19" s="117" t="s">
        <v>192</v>
      </c>
      <c r="M19" s="75"/>
      <c r="N19" s="75"/>
      <c r="O19" s="37"/>
      <c r="P19" s="75"/>
      <c r="Q19" s="75"/>
      <c r="R19" s="75"/>
      <c r="S19" s="120"/>
      <c r="T19" s="75"/>
      <c r="U19" s="118"/>
      <c r="V19" s="83"/>
    </row>
    <row r="20" spans="2:22" ht="13" x14ac:dyDescent="0.3">
      <c r="B20" s="4"/>
      <c r="C20" s="5"/>
      <c r="E20" s="75"/>
      <c r="F20" s="75"/>
      <c r="G20" s="37"/>
      <c r="H20" s="75"/>
      <c r="I20" s="75"/>
      <c r="J20" s="75"/>
      <c r="K20" s="37"/>
      <c r="L20" s="76"/>
      <c r="M20" s="75"/>
      <c r="N20" s="75"/>
      <c r="O20" s="445"/>
      <c r="P20" s="445"/>
      <c r="Q20" s="445"/>
      <c r="R20" s="445"/>
      <c r="S20" s="445"/>
      <c r="T20" s="173"/>
      <c r="U20" s="211"/>
      <c r="V20" s="83"/>
    </row>
    <row r="21" spans="2:22" ht="13" x14ac:dyDescent="0.3">
      <c r="B21" s="4"/>
      <c r="C21" s="5"/>
      <c r="E21" s="75"/>
      <c r="F21" s="75"/>
      <c r="G21" s="402" t="s">
        <v>380</v>
      </c>
      <c r="H21" s="402"/>
      <c r="I21" s="402"/>
      <c r="J21" s="402"/>
      <c r="K21" s="402"/>
      <c r="L21" s="76"/>
      <c r="M21" s="75"/>
      <c r="N21" s="75"/>
      <c r="O21" s="170"/>
      <c r="P21" s="212"/>
      <c r="Q21" s="212"/>
      <c r="R21" s="212"/>
      <c r="S21" s="212"/>
      <c r="T21" s="170"/>
      <c r="U21" s="212"/>
      <c r="V21" s="83"/>
    </row>
    <row r="22" spans="2:22" ht="2.15" customHeight="1" x14ac:dyDescent="0.3">
      <c r="B22" s="4"/>
      <c r="C22" s="5"/>
      <c r="E22" s="75"/>
      <c r="F22" s="75"/>
      <c r="G22" s="37"/>
      <c r="H22" s="75"/>
      <c r="I22" s="75"/>
      <c r="J22" s="75"/>
      <c r="K22" s="37"/>
      <c r="L22" s="76"/>
      <c r="M22" s="75"/>
      <c r="N22" s="75"/>
      <c r="O22" s="210"/>
      <c r="P22" s="210"/>
      <c r="Q22" s="210"/>
      <c r="R22" s="210"/>
      <c r="S22" s="210"/>
      <c r="T22" s="210"/>
      <c r="U22" s="210"/>
      <c r="V22" s="83"/>
    </row>
    <row r="23" spans="2:22" ht="13" x14ac:dyDescent="0.3">
      <c r="B23" s="4"/>
      <c r="C23" s="5"/>
      <c r="E23" s="75"/>
      <c r="F23" s="75"/>
      <c r="G23" s="400" t="s">
        <v>381</v>
      </c>
      <c r="H23" s="400"/>
      <c r="I23" s="400"/>
      <c r="J23" s="400"/>
      <c r="K23" s="124">
        <f>'Stage 4'!K12</f>
        <v>0</v>
      </c>
      <c r="L23" s="121" t="s">
        <v>192</v>
      </c>
      <c r="M23" s="75"/>
      <c r="N23" s="75"/>
      <c r="O23" s="446"/>
      <c r="P23" s="446"/>
      <c r="Q23" s="446"/>
      <c r="R23" s="446"/>
      <c r="S23" s="446"/>
      <c r="T23" s="213"/>
      <c r="U23" s="214"/>
      <c r="V23" s="83"/>
    </row>
    <row r="24" spans="2:22" ht="13" x14ac:dyDescent="0.3">
      <c r="B24" s="4"/>
      <c r="C24" s="5"/>
      <c r="E24" s="75"/>
      <c r="F24" s="75"/>
      <c r="G24" s="400" t="s">
        <v>220</v>
      </c>
      <c r="H24" s="400"/>
      <c r="I24" s="400"/>
      <c r="J24" s="400"/>
      <c r="K24" s="124">
        <f>'Stage 3'!K35</f>
        <v>0</v>
      </c>
      <c r="L24" s="117" t="s">
        <v>192</v>
      </c>
      <c r="M24" s="75"/>
      <c r="N24" s="75"/>
      <c r="O24" s="212"/>
      <c r="P24" s="212"/>
      <c r="Q24" s="212"/>
      <c r="R24" s="212"/>
      <c r="S24" s="212"/>
      <c r="T24" s="212"/>
      <c r="U24" s="212"/>
      <c r="V24" s="83"/>
    </row>
    <row r="25" spans="2:22" ht="13" x14ac:dyDescent="0.3">
      <c r="B25" s="4"/>
      <c r="C25" s="5"/>
      <c r="E25" s="75"/>
      <c r="F25" s="75"/>
      <c r="G25" s="75"/>
      <c r="H25" s="75"/>
      <c r="I25" s="75"/>
      <c r="J25" s="75"/>
      <c r="K25" s="120"/>
      <c r="L25" s="120"/>
      <c r="M25" s="75"/>
      <c r="N25" s="75"/>
      <c r="O25" s="75"/>
      <c r="P25" s="75"/>
      <c r="Q25" s="75"/>
      <c r="R25" s="75"/>
      <c r="S25" s="75"/>
      <c r="T25" s="75"/>
      <c r="U25" s="75"/>
      <c r="V25" s="83"/>
    </row>
    <row r="26" spans="2:22" ht="13" x14ac:dyDescent="0.3">
      <c r="B26" s="4"/>
      <c r="C26" s="5"/>
      <c r="E26" s="75"/>
      <c r="F26" s="75"/>
      <c r="G26" s="75"/>
      <c r="H26" s="75"/>
      <c r="I26" s="75"/>
      <c r="J26" s="75"/>
      <c r="K26" s="75"/>
      <c r="L26" s="75"/>
      <c r="M26" s="75"/>
      <c r="N26" s="75"/>
      <c r="O26" s="74"/>
      <c r="P26" s="75"/>
      <c r="Q26" s="75"/>
      <c r="R26" s="75"/>
      <c r="S26" s="75"/>
      <c r="T26" s="75"/>
      <c r="U26" s="75"/>
      <c r="V26" s="83"/>
    </row>
    <row r="27" spans="2:22" ht="6" customHeight="1" x14ac:dyDescent="0.3">
      <c r="B27" s="4"/>
      <c r="C27" s="5"/>
      <c r="E27" s="75"/>
      <c r="F27" s="75"/>
      <c r="G27" s="75"/>
      <c r="H27" s="75"/>
      <c r="I27" s="75"/>
      <c r="J27" s="75"/>
      <c r="K27" s="75"/>
      <c r="L27" s="75"/>
      <c r="M27" s="75"/>
      <c r="N27" s="75"/>
      <c r="O27" s="75"/>
      <c r="P27" s="75"/>
      <c r="Q27" s="75"/>
      <c r="R27" s="75"/>
      <c r="S27" s="75"/>
      <c r="T27" s="75"/>
      <c r="U27" s="75"/>
      <c r="V27" s="83"/>
    </row>
    <row r="28" spans="2:22" ht="16" customHeight="1" x14ac:dyDescent="0.3">
      <c r="B28" s="4"/>
      <c r="C28" s="5"/>
      <c r="E28" s="75"/>
      <c r="F28" s="75"/>
      <c r="G28" s="75"/>
      <c r="H28" s="75"/>
      <c r="I28" s="75"/>
      <c r="J28" s="75"/>
      <c r="K28" s="75"/>
      <c r="L28" s="75"/>
      <c r="M28" s="75"/>
      <c r="N28" s="75"/>
      <c r="O28" s="75"/>
      <c r="P28" s="75"/>
      <c r="Q28" s="75"/>
      <c r="R28" s="75"/>
      <c r="S28" s="75"/>
      <c r="T28" s="75"/>
      <c r="U28" s="75"/>
      <c r="V28" s="83"/>
    </row>
    <row r="29" spans="2:22" ht="15" customHeight="1" x14ac:dyDescent="0.3">
      <c r="B29" s="4"/>
      <c r="C29" s="5"/>
      <c r="E29" s="75"/>
      <c r="F29" s="75"/>
      <c r="G29" s="75"/>
      <c r="H29" s="75"/>
      <c r="I29" s="75"/>
      <c r="J29" s="75"/>
      <c r="K29" s="120"/>
      <c r="L29" s="120"/>
      <c r="M29" s="75"/>
      <c r="N29" s="75"/>
      <c r="O29" s="75"/>
      <c r="P29" s="75"/>
      <c r="Q29" s="75"/>
      <c r="R29" s="75"/>
      <c r="S29" s="120"/>
      <c r="T29" s="120"/>
      <c r="U29" s="75"/>
      <c r="V29" s="83"/>
    </row>
    <row r="30" spans="2:22" ht="13" x14ac:dyDescent="0.3">
      <c r="B30" s="4"/>
      <c r="C30" s="5"/>
      <c r="D30" t="s">
        <v>354</v>
      </c>
      <c r="E30" s="75"/>
      <c r="F30" s="75"/>
      <c r="G30" s="75"/>
      <c r="H30" s="75"/>
      <c r="I30" s="75"/>
      <c r="J30" s="75"/>
      <c r="K30" s="120"/>
      <c r="L30" s="120"/>
      <c r="M30" s="75"/>
      <c r="N30" s="75"/>
      <c r="O30" s="75"/>
      <c r="P30" s="75"/>
      <c r="Q30" s="75"/>
      <c r="R30" s="75"/>
      <c r="S30" s="120"/>
      <c r="T30" s="120"/>
      <c r="U30" s="75"/>
      <c r="V30" s="83"/>
    </row>
    <row r="31" spans="2:22" ht="12.65" customHeight="1" x14ac:dyDescent="0.3">
      <c r="B31" s="4"/>
      <c r="C31" s="5"/>
      <c r="E31" s="75"/>
      <c r="F31" s="75"/>
      <c r="G31" s="75"/>
      <c r="H31" s="75"/>
      <c r="I31" s="75"/>
      <c r="J31" s="75"/>
      <c r="K31" s="75"/>
      <c r="L31" s="75"/>
      <c r="M31" s="75"/>
      <c r="N31" s="75"/>
      <c r="O31" s="75"/>
      <c r="P31" s="75"/>
      <c r="Q31" s="75"/>
      <c r="R31" s="75"/>
      <c r="S31" s="75"/>
      <c r="T31" s="75"/>
      <c r="U31" s="75"/>
      <c r="V31" s="83"/>
    </row>
    <row r="32" spans="2:22" ht="23.5" customHeight="1" x14ac:dyDescent="0.3">
      <c r="B32" s="4"/>
      <c r="C32" s="5"/>
      <c r="D32" t="s">
        <v>355</v>
      </c>
      <c r="E32" s="75"/>
      <c r="F32" s="75"/>
      <c r="G32" s="74"/>
      <c r="H32" s="75"/>
      <c r="I32" s="75"/>
      <c r="J32" s="75"/>
      <c r="K32" s="120"/>
      <c r="L32" s="120"/>
      <c r="M32" s="75"/>
      <c r="N32" s="75"/>
      <c r="O32" s="75"/>
      <c r="P32" s="75"/>
      <c r="Q32" s="75"/>
      <c r="R32" s="75"/>
      <c r="S32" s="120"/>
      <c r="T32" s="120"/>
      <c r="U32" s="75"/>
      <c r="V32" s="83"/>
    </row>
    <row r="33" spans="2:22" ht="1.5" customHeight="1" x14ac:dyDescent="0.3">
      <c r="B33" s="4"/>
      <c r="C33" s="5"/>
      <c r="E33" s="75"/>
      <c r="F33" s="75"/>
      <c r="G33" s="75"/>
      <c r="H33" s="75"/>
      <c r="I33" s="75"/>
      <c r="J33" s="75"/>
      <c r="K33" s="75"/>
      <c r="L33" s="75"/>
      <c r="M33" s="75"/>
      <c r="N33" s="75"/>
      <c r="O33" s="75"/>
      <c r="P33" s="75"/>
      <c r="Q33" s="75"/>
      <c r="R33" s="75"/>
      <c r="S33" s="75"/>
      <c r="T33" s="75"/>
      <c r="U33" s="75"/>
      <c r="V33" s="83"/>
    </row>
    <row r="34" spans="2:22" ht="13" x14ac:dyDescent="0.3">
      <c r="B34" s="4"/>
      <c r="C34" s="5"/>
      <c r="D34" t="s">
        <v>356</v>
      </c>
      <c r="E34" s="75"/>
      <c r="F34" s="75"/>
      <c r="G34" s="75"/>
      <c r="H34" s="75"/>
      <c r="I34" s="75"/>
      <c r="J34" s="75"/>
      <c r="K34" s="75"/>
      <c r="L34" s="75"/>
      <c r="M34" s="75"/>
      <c r="N34" s="75"/>
      <c r="O34" s="75"/>
      <c r="P34" s="75"/>
      <c r="Q34" s="75"/>
      <c r="R34" s="75"/>
      <c r="S34" s="75"/>
      <c r="T34" s="75"/>
      <c r="U34" s="75"/>
      <c r="V34" s="83"/>
    </row>
    <row r="35" spans="2:22" ht="13" x14ac:dyDescent="0.3">
      <c r="B35" s="4"/>
      <c r="C35" s="5"/>
      <c r="E35" s="108"/>
      <c r="F35" s="108"/>
      <c r="G35" s="108"/>
      <c r="H35" s="75"/>
      <c r="I35" s="75"/>
      <c r="J35" s="75"/>
      <c r="K35" s="75"/>
      <c r="L35" s="75"/>
      <c r="M35" s="75"/>
      <c r="N35" s="75"/>
      <c r="O35" s="75"/>
      <c r="P35" s="75"/>
      <c r="Q35" s="75"/>
      <c r="R35" s="75"/>
      <c r="S35" s="75"/>
      <c r="T35" s="75"/>
      <c r="U35" s="75"/>
      <c r="V35" s="83"/>
    </row>
    <row r="36" spans="2:22" ht="6.65" customHeight="1" x14ac:dyDescent="0.3">
      <c r="B36" s="4"/>
      <c r="C36" s="5"/>
      <c r="E36" s="75"/>
      <c r="F36" s="75"/>
      <c r="G36" s="75"/>
      <c r="H36" s="75"/>
      <c r="I36" s="75"/>
      <c r="J36" s="75"/>
      <c r="K36" s="75"/>
      <c r="L36" s="75"/>
      <c r="M36" s="75"/>
      <c r="N36" s="75"/>
      <c r="O36" s="75"/>
      <c r="P36" s="75"/>
      <c r="Q36" s="75"/>
      <c r="R36" s="75"/>
      <c r="S36" s="75"/>
      <c r="T36" s="75"/>
      <c r="U36" s="75"/>
      <c r="V36" s="83"/>
    </row>
    <row r="37" spans="2:22" ht="13" x14ac:dyDescent="0.3">
      <c r="B37" s="4"/>
      <c r="C37" s="5"/>
      <c r="E37" s="75"/>
      <c r="F37" s="75"/>
      <c r="G37" s="75"/>
      <c r="H37" s="75"/>
      <c r="I37" s="75"/>
      <c r="J37" s="75"/>
      <c r="K37" s="75"/>
      <c r="L37" s="75"/>
      <c r="M37" s="75"/>
      <c r="N37" s="75"/>
      <c r="O37" s="75"/>
      <c r="P37" s="75"/>
      <c r="Q37" s="75"/>
      <c r="R37" s="75"/>
      <c r="S37" s="75"/>
      <c r="T37" s="75"/>
      <c r="U37" s="75"/>
      <c r="V37" s="83"/>
    </row>
    <row r="38" spans="2:22" ht="13" x14ac:dyDescent="0.3">
      <c r="B38" s="4"/>
      <c r="C38" s="5"/>
      <c r="E38" s="75"/>
      <c r="F38" s="75"/>
      <c r="G38" s="74"/>
      <c r="H38" s="75"/>
      <c r="I38" s="75"/>
      <c r="J38" s="75"/>
      <c r="K38" s="75"/>
      <c r="L38" s="75"/>
      <c r="M38" s="75"/>
      <c r="N38" s="75"/>
      <c r="O38" s="75"/>
      <c r="P38" s="75"/>
      <c r="Q38" s="75"/>
      <c r="R38" s="75"/>
      <c r="S38" s="75"/>
      <c r="T38" s="75"/>
      <c r="U38" s="75"/>
      <c r="V38" s="83"/>
    </row>
    <row r="39" spans="2:22" ht="13" x14ac:dyDescent="0.3">
      <c r="B39" s="4"/>
      <c r="C39" s="5"/>
      <c r="E39" s="75"/>
      <c r="F39" s="75"/>
      <c r="G39" s="75"/>
      <c r="H39" s="75"/>
      <c r="I39" s="75"/>
      <c r="J39" s="75"/>
      <c r="K39" s="75"/>
      <c r="L39" s="75"/>
      <c r="M39" s="75"/>
      <c r="N39" s="75"/>
      <c r="O39" s="75"/>
      <c r="P39" s="75"/>
      <c r="Q39" s="75"/>
      <c r="R39" s="75"/>
      <c r="S39" s="75"/>
      <c r="T39" s="75"/>
      <c r="U39" s="75"/>
      <c r="V39" s="83"/>
    </row>
    <row r="40" spans="2:22" ht="12.65" customHeight="1" x14ac:dyDescent="0.3">
      <c r="B40" s="4"/>
      <c r="C40" s="5"/>
      <c r="E40" s="75"/>
      <c r="F40" s="75"/>
      <c r="G40" s="75"/>
      <c r="H40" s="75"/>
      <c r="I40" s="75"/>
      <c r="J40" s="75"/>
      <c r="K40" s="75"/>
      <c r="L40" s="75"/>
      <c r="M40" s="75"/>
      <c r="N40" s="75"/>
      <c r="O40" s="75"/>
      <c r="P40" s="75"/>
      <c r="Q40" s="75"/>
      <c r="R40" s="75"/>
      <c r="S40" s="75"/>
      <c r="T40" s="75"/>
      <c r="U40" s="75"/>
      <c r="V40" s="83"/>
    </row>
    <row r="41" spans="2:22" ht="35.5" customHeight="1" x14ac:dyDescent="0.3">
      <c r="B41" s="4"/>
      <c r="C41" s="5"/>
      <c r="E41" s="75"/>
      <c r="F41" s="75"/>
      <c r="G41" s="75"/>
      <c r="H41" s="75"/>
      <c r="I41" s="75"/>
      <c r="J41" s="75"/>
      <c r="K41" s="75"/>
      <c r="L41" s="75"/>
      <c r="M41" s="75"/>
      <c r="N41" s="75"/>
      <c r="O41" s="75"/>
      <c r="P41" s="75"/>
      <c r="Q41" s="75"/>
      <c r="R41" s="75"/>
      <c r="S41" s="75"/>
      <c r="T41" s="75"/>
      <c r="U41" s="75"/>
      <c r="V41" s="83"/>
    </row>
    <row r="42" spans="2:22" ht="13" customHeight="1" x14ac:dyDescent="0.3">
      <c r="B42" s="4"/>
      <c r="C42" s="5"/>
      <c r="E42" s="75"/>
      <c r="F42" s="75"/>
      <c r="G42" s="75"/>
      <c r="H42" s="75"/>
      <c r="I42" s="75"/>
      <c r="J42" s="75"/>
      <c r="K42" s="75"/>
      <c r="L42" s="75"/>
      <c r="M42" s="75"/>
      <c r="N42" s="75"/>
      <c r="O42" s="75"/>
      <c r="P42" s="75"/>
      <c r="Q42" s="75"/>
      <c r="R42" s="75"/>
      <c r="S42" s="75"/>
      <c r="T42" s="75"/>
      <c r="U42" s="75"/>
      <c r="V42" s="83"/>
    </row>
    <row r="43" spans="2:22" ht="13" customHeight="1" x14ac:dyDescent="0.3">
      <c r="B43" s="4"/>
      <c r="C43" s="5"/>
      <c r="E43" s="75"/>
      <c r="F43" s="75"/>
      <c r="G43" s="75"/>
      <c r="H43" s="75"/>
      <c r="I43" s="75"/>
      <c r="J43" s="75"/>
      <c r="K43" s="75"/>
      <c r="L43" s="75"/>
      <c r="M43" s="75"/>
      <c r="N43" s="75"/>
      <c r="O43" s="75"/>
      <c r="P43" s="75"/>
      <c r="Q43" s="75"/>
      <c r="R43" s="75"/>
      <c r="S43" s="75"/>
      <c r="T43" s="75"/>
      <c r="U43" s="75"/>
      <c r="V43" s="83"/>
    </row>
    <row r="44" spans="2:22" ht="19.5" customHeight="1" thickBot="1" x14ac:dyDescent="0.35">
      <c r="B44" s="7"/>
      <c r="C44" s="8"/>
      <c r="D44" s="34"/>
      <c r="E44" s="105"/>
      <c r="F44" s="105"/>
      <c r="G44" s="105"/>
      <c r="H44" s="122"/>
      <c r="I44" s="105"/>
      <c r="J44" s="105"/>
      <c r="K44" s="105"/>
      <c r="L44" s="105"/>
      <c r="M44" s="105"/>
      <c r="N44" s="105"/>
      <c r="O44" s="105"/>
      <c r="P44" s="105"/>
      <c r="Q44" s="105"/>
      <c r="R44" s="105"/>
      <c r="S44" s="105"/>
      <c r="T44" s="105"/>
      <c r="U44" s="105"/>
      <c r="V44" s="106"/>
    </row>
    <row r="59" spans="10:18" ht="13" x14ac:dyDescent="0.3">
      <c r="J59" s="16"/>
      <c r="K59" s="16"/>
      <c r="L59" s="16"/>
      <c r="M59" s="16"/>
      <c r="N59" s="16"/>
      <c r="O59" s="16"/>
      <c r="P59" s="16"/>
      <c r="Q59" s="16"/>
      <c r="R59" s="16"/>
    </row>
  </sheetData>
  <sheetProtection algorithmName="SHA-512" hashValue="6CE6Ep3YjR4XnotbpzPkjqhA1PHwATZJ/oCSgajBFyPvqdRrxN8e7d5godu9RzqaWAQhFlYTW2GXnjUr6OiWdQ==" saltValue="LykcuATElF3U1tkYhGQ7PA==" spinCount="100000" sheet="1" objects="1" scenarios="1" selectLockedCells="1"/>
  <dataConsolidate/>
  <mergeCells count="18">
    <mergeCell ref="G24:J24"/>
    <mergeCell ref="O15:S15"/>
    <mergeCell ref="O16:S16"/>
    <mergeCell ref="O18:S18"/>
    <mergeCell ref="G15:J15"/>
    <mergeCell ref="G16:J16"/>
    <mergeCell ref="G18:K18"/>
    <mergeCell ref="G19:J19"/>
    <mergeCell ref="G21:K21"/>
    <mergeCell ref="G23:J23"/>
    <mergeCell ref="O20:S20"/>
    <mergeCell ref="O23:S23"/>
    <mergeCell ref="F3:U3"/>
    <mergeCell ref="G7:U9"/>
    <mergeCell ref="G13:L13"/>
    <mergeCell ref="O13:U13"/>
    <mergeCell ref="G10:U10"/>
    <mergeCell ref="G5:U5"/>
  </mergeCells>
  <conditionalFormatting sqref="G5">
    <cfRule type="containsText" dxfId="1" priority="1" operator="containsText" text="not">
      <formula>NOT(ISERROR(SEARCH("not",G5)))</formula>
    </cfRule>
    <cfRule type="containsText" dxfId="0" priority="2" operator="containsText" text="has">
      <formula>NOT(ISERROR(SEARCH("has",G5)))</formula>
    </cfRule>
  </conditionalFormatting>
  <dataValidations count="1">
    <dataValidation type="list" allowBlank="1" showInputMessage="1" showErrorMessage="1" sqref="G11" xr:uid="{7A567102-E55A-4687-A786-44C8EC9C72E5}">
      <formula1>"Single room dwelling, House, Hotel / quest house"</formula1>
    </dataValidation>
  </dataValidations>
  <pageMargins left="0.70866141732283472" right="0.70866141732283472" top="0.74803149606299213" bottom="0.74803149606299213" header="0.31496062992125984" footer="0.31496062992125984"/>
  <pageSetup paperSize="9" scale="85" orientation="landscape" horizontalDpi="360" verticalDpi="360" r:id="rId1"/>
  <headerFooter>
    <oddHeader>&amp;LPhosphate Budget Calculator&amp;CStage 4&amp;R&amp;"Calibri,Regular"&amp;KFF8C00Information Classification: CONTROLLED&amp;1#</oddHeader>
    <oddFooter>&amp;LVersion 1&amp;R&amp;D</oddFooter>
  </headerFooter>
  <customProperties>
    <customPr name="SSC_SHEET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1B447-6C93-4A3D-9E5B-B768C560CAA1}">
  <dimension ref="A1:E66"/>
  <sheetViews>
    <sheetView workbookViewId="0"/>
  </sheetViews>
  <sheetFormatPr defaultRowHeight="12.5" x14ac:dyDescent="0.25"/>
  <sheetData>
    <row r="1" spans="1:5" x14ac:dyDescent="0.25">
      <c r="A1" t="s">
        <v>382</v>
      </c>
      <c r="B1" t="s">
        <v>383</v>
      </c>
      <c r="C1" t="s">
        <v>384</v>
      </c>
      <c r="D1" t="s">
        <v>385</v>
      </c>
      <c r="E1" t="s">
        <v>386</v>
      </c>
    </row>
    <row r="2" spans="1:5" x14ac:dyDescent="0.25">
      <c r="A2" t="s">
        <v>387</v>
      </c>
      <c r="B2" t="s">
        <v>388</v>
      </c>
      <c r="C2" t="s">
        <v>389</v>
      </c>
    </row>
    <row r="3" spans="1:5" x14ac:dyDescent="0.25">
      <c r="A3" t="s">
        <v>390</v>
      </c>
      <c r="B3" t="s">
        <v>391</v>
      </c>
      <c r="C3" t="s">
        <v>392</v>
      </c>
    </row>
    <row r="4" spans="1:5" x14ac:dyDescent="0.25">
      <c r="A4" t="s">
        <v>393</v>
      </c>
      <c r="B4" t="s">
        <v>394</v>
      </c>
      <c r="C4" t="s">
        <v>395</v>
      </c>
    </row>
    <row r="5" spans="1:5" x14ac:dyDescent="0.25">
      <c r="A5" t="s">
        <v>396</v>
      </c>
      <c r="B5" t="s">
        <v>397</v>
      </c>
      <c r="C5" t="s">
        <v>398</v>
      </c>
    </row>
    <row r="6" spans="1:5" x14ac:dyDescent="0.25">
      <c r="A6" t="s">
        <v>399</v>
      </c>
      <c r="B6" t="s">
        <v>400</v>
      </c>
      <c r="C6" t="s">
        <v>401</v>
      </c>
    </row>
    <row r="7" spans="1:5" x14ac:dyDescent="0.25">
      <c r="A7" t="s">
        <v>402</v>
      </c>
      <c r="B7" t="s">
        <v>403</v>
      </c>
      <c r="C7" t="s">
        <v>404</v>
      </c>
    </row>
    <row r="8" spans="1:5" x14ac:dyDescent="0.25">
      <c r="A8" t="s">
        <v>405</v>
      </c>
      <c r="C8" t="s">
        <v>406</v>
      </c>
    </row>
    <row r="9" spans="1:5" x14ac:dyDescent="0.25">
      <c r="A9" t="s">
        <v>407</v>
      </c>
      <c r="C9" t="s">
        <v>408</v>
      </c>
    </row>
    <row r="10" spans="1:5" x14ac:dyDescent="0.25">
      <c r="A10" t="s">
        <v>409</v>
      </c>
      <c r="C10" t="s">
        <v>410</v>
      </c>
    </row>
    <row r="11" spans="1:5" x14ac:dyDescent="0.25">
      <c r="A11" t="s">
        <v>411</v>
      </c>
      <c r="C11" t="s">
        <v>412</v>
      </c>
    </row>
    <row r="12" spans="1:5" x14ac:dyDescent="0.25">
      <c r="A12" t="s">
        <v>413</v>
      </c>
      <c r="C12" t="s">
        <v>414</v>
      </c>
    </row>
    <row r="13" spans="1:5" x14ac:dyDescent="0.25">
      <c r="A13" t="s">
        <v>415</v>
      </c>
      <c r="C13" t="s">
        <v>416</v>
      </c>
    </row>
    <row r="14" spans="1:5" x14ac:dyDescent="0.25">
      <c r="A14" t="s">
        <v>417</v>
      </c>
      <c r="C14" t="s">
        <v>418</v>
      </c>
    </row>
    <row r="15" spans="1:5" x14ac:dyDescent="0.25">
      <c r="A15" t="s">
        <v>419</v>
      </c>
      <c r="C15" t="s">
        <v>420</v>
      </c>
    </row>
    <row r="16" spans="1:5" x14ac:dyDescent="0.25">
      <c r="A16" t="s">
        <v>421</v>
      </c>
    </row>
    <row r="17" spans="1:1" x14ac:dyDescent="0.25">
      <c r="A17" t="s">
        <v>422</v>
      </c>
    </row>
    <row r="18" spans="1:1" x14ac:dyDescent="0.25">
      <c r="A18" t="s">
        <v>423</v>
      </c>
    </row>
    <row r="19" spans="1:1" x14ac:dyDescent="0.25">
      <c r="A19" t="s">
        <v>424</v>
      </c>
    </row>
    <row r="20" spans="1:1" x14ac:dyDescent="0.25">
      <c r="A20" t="s">
        <v>425</v>
      </c>
    </row>
    <row r="21" spans="1:1" x14ac:dyDescent="0.25">
      <c r="A21" t="s">
        <v>426</v>
      </c>
    </row>
    <row r="22" spans="1:1" x14ac:dyDescent="0.25">
      <c r="A22" t="s">
        <v>427</v>
      </c>
    </row>
    <row r="23" spans="1:1" x14ac:dyDescent="0.25">
      <c r="A23" t="s">
        <v>428</v>
      </c>
    </row>
    <row r="24" spans="1:1" x14ac:dyDescent="0.25">
      <c r="A24" t="s">
        <v>429</v>
      </c>
    </row>
    <row r="25" spans="1:1" x14ac:dyDescent="0.25">
      <c r="A25" t="s">
        <v>430</v>
      </c>
    </row>
    <row r="26" spans="1:1" x14ac:dyDescent="0.25">
      <c r="A26" t="s">
        <v>431</v>
      </c>
    </row>
    <row r="27" spans="1:1" x14ac:dyDescent="0.25">
      <c r="A27" t="s">
        <v>432</v>
      </c>
    </row>
    <row r="28" spans="1:1" x14ac:dyDescent="0.25">
      <c r="A28" t="s">
        <v>433</v>
      </c>
    </row>
    <row r="29" spans="1:1" x14ac:dyDescent="0.25">
      <c r="A29" t="s">
        <v>434</v>
      </c>
    </row>
    <row r="30" spans="1:1" x14ac:dyDescent="0.25">
      <c r="A30" t="s">
        <v>435</v>
      </c>
    </row>
    <row r="31" spans="1:1" x14ac:dyDescent="0.25">
      <c r="A31" t="s">
        <v>436</v>
      </c>
    </row>
    <row r="32" spans="1:1" x14ac:dyDescent="0.25">
      <c r="A32" t="s">
        <v>437</v>
      </c>
    </row>
    <row r="33" spans="1:1" x14ac:dyDescent="0.25">
      <c r="A33" t="s">
        <v>438</v>
      </c>
    </row>
    <row r="34" spans="1:1" x14ac:dyDescent="0.25">
      <c r="A34" t="s">
        <v>439</v>
      </c>
    </row>
    <row r="35" spans="1:1" x14ac:dyDescent="0.25">
      <c r="A35" t="s">
        <v>440</v>
      </c>
    </row>
    <row r="36" spans="1:1" x14ac:dyDescent="0.25">
      <c r="A36" t="s">
        <v>441</v>
      </c>
    </row>
    <row r="37" spans="1:1" x14ac:dyDescent="0.25">
      <c r="A37" t="s">
        <v>442</v>
      </c>
    </row>
    <row r="38" spans="1:1" x14ac:dyDescent="0.25">
      <c r="A38" t="s">
        <v>443</v>
      </c>
    </row>
    <row r="39" spans="1:1" x14ac:dyDescent="0.25">
      <c r="A39" t="s">
        <v>444</v>
      </c>
    </row>
    <row r="40" spans="1:1" x14ac:dyDescent="0.25">
      <c r="A40" t="s">
        <v>445</v>
      </c>
    </row>
    <row r="41" spans="1:1" x14ac:dyDescent="0.25">
      <c r="A41" t="s">
        <v>446</v>
      </c>
    </row>
    <row r="42" spans="1:1" x14ac:dyDescent="0.25">
      <c r="A42" t="s">
        <v>447</v>
      </c>
    </row>
    <row r="43" spans="1:1" x14ac:dyDescent="0.25">
      <c r="A43" t="s">
        <v>448</v>
      </c>
    </row>
    <row r="44" spans="1:1" x14ac:dyDescent="0.25">
      <c r="A44" t="s">
        <v>449</v>
      </c>
    </row>
    <row r="45" spans="1:1" x14ac:dyDescent="0.25">
      <c r="A45" t="s">
        <v>450</v>
      </c>
    </row>
    <row r="46" spans="1:1" x14ac:dyDescent="0.25">
      <c r="A46" t="s">
        <v>451</v>
      </c>
    </row>
    <row r="47" spans="1:1" x14ac:dyDescent="0.25">
      <c r="A47" t="s">
        <v>452</v>
      </c>
    </row>
    <row r="48" spans="1:1" x14ac:dyDescent="0.25">
      <c r="A48" t="s">
        <v>453</v>
      </c>
    </row>
    <row r="49" spans="1:2" x14ac:dyDescent="0.25">
      <c r="A49" t="s">
        <v>454</v>
      </c>
    </row>
    <row r="50" spans="1:2" x14ac:dyDescent="0.25">
      <c r="A50" t="s">
        <v>455</v>
      </c>
    </row>
    <row r="51" spans="1:2" x14ac:dyDescent="0.25">
      <c r="A51" t="s">
        <v>456</v>
      </c>
    </row>
    <row r="52" spans="1:2" x14ac:dyDescent="0.25">
      <c r="A52" t="s">
        <v>457</v>
      </c>
    </row>
    <row r="53" spans="1:2" x14ac:dyDescent="0.25">
      <c r="A53" t="s">
        <v>458</v>
      </c>
    </row>
    <row r="54" spans="1:2" x14ac:dyDescent="0.25">
      <c r="A54" t="s">
        <v>459</v>
      </c>
    </row>
    <row r="55" spans="1:2" x14ac:dyDescent="0.25">
      <c r="A55" t="s">
        <v>460</v>
      </c>
    </row>
    <row r="56" spans="1:2" x14ac:dyDescent="0.25">
      <c r="A56" t="s">
        <v>461</v>
      </c>
    </row>
    <row r="57" spans="1:2" x14ac:dyDescent="0.25">
      <c r="A57" t="s">
        <v>462</v>
      </c>
    </row>
    <row r="58" spans="1:2" x14ac:dyDescent="0.25">
      <c r="A58" t="s">
        <v>463</v>
      </c>
    </row>
    <row r="59" spans="1:2" x14ac:dyDescent="0.25">
      <c r="A59" t="s">
        <v>464</v>
      </c>
    </row>
    <row r="60" spans="1:2" x14ac:dyDescent="0.25">
      <c r="A60" t="s">
        <v>465</v>
      </c>
    </row>
    <row r="61" spans="1:2" x14ac:dyDescent="0.25">
      <c r="A61" t="s">
        <v>466</v>
      </c>
    </row>
    <row r="62" spans="1:2" x14ac:dyDescent="0.25">
      <c r="A62" t="s">
        <v>467</v>
      </c>
    </row>
    <row r="63" spans="1:2" x14ac:dyDescent="0.25">
      <c r="A63" t="s">
        <v>468</v>
      </c>
      <c r="B63" t="s">
        <v>469</v>
      </c>
    </row>
    <row r="64" spans="1:2" x14ac:dyDescent="0.25">
      <c r="A64" t="s">
        <v>470</v>
      </c>
    </row>
    <row r="65" spans="1:2" x14ac:dyDescent="0.25">
      <c r="A65" t="s">
        <v>471</v>
      </c>
      <c r="B65" t="s">
        <v>472</v>
      </c>
    </row>
    <row r="66" spans="1:2" x14ac:dyDescent="0.25">
      <c r="A66" t="s">
        <v>473</v>
      </c>
      <c r="B66" t="s">
        <v>474</v>
      </c>
    </row>
  </sheetData>
  <pageMargins left="0.7" right="0.7" top="0.75" bottom="0.75" header="0.3" footer="0.3"/>
  <pageSetup paperSize="9" orientation="portrait" r:id="rId1"/>
  <headerFooter>
    <oddHeader>&amp;R&amp;"Calibri"&amp;10&amp;KFF8C00Information Classification: CONTROLLED&amp;1#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AADB3-4B1A-41C3-86C7-80FA4EA5A9E3}">
  <dimension ref="A1:U10"/>
  <sheetViews>
    <sheetView workbookViewId="0"/>
  </sheetViews>
  <sheetFormatPr defaultRowHeight="12.5" x14ac:dyDescent="0.25"/>
  <cols>
    <col min="1" max="3" width="20.453125" bestFit="1" customWidth="1"/>
    <col min="4" max="5" width="21.453125" bestFit="1" customWidth="1"/>
    <col min="6" max="21" width="20.1796875" bestFit="1" customWidth="1"/>
  </cols>
  <sheetData>
    <row r="1" spans="1:21" x14ac:dyDescent="0.25">
      <c r="A1" t="s">
        <v>475</v>
      </c>
      <c r="B1" t="s">
        <v>475</v>
      </c>
      <c r="C1" t="s">
        <v>475</v>
      </c>
      <c r="D1" t="s">
        <v>475</v>
      </c>
      <c r="E1" t="s">
        <v>475</v>
      </c>
      <c r="F1" t="s">
        <v>475</v>
      </c>
      <c r="G1" t="s">
        <v>475</v>
      </c>
      <c r="H1" t="s">
        <v>475</v>
      </c>
      <c r="I1" t="s">
        <v>475</v>
      </c>
      <c r="J1" t="s">
        <v>475</v>
      </c>
      <c r="K1" t="s">
        <v>475</v>
      </c>
      <c r="L1" t="s">
        <v>475</v>
      </c>
      <c r="M1" t="s">
        <v>475</v>
      </c>
      <c r="N1" t="s">
        <v>475</v>
      </c>
      <c r="O1" t="s">
        <v>475</v>
      </c>
      <c r="P1" t="s">
        <v>475</v>
      </c>
      <c r="Q1" t="s">
        <v>475</v>
      </c>
      <c r="R1" t="s">
        <v>475</v>
      </c>
      <c r="S1" t="s">
        <v>475</v>
      </c>
      <c r="T1" t="s">
        <v>475</v>
      </c>
      <c r="U1" t="s">
        <v>475</v>
      </c>
    </row>
    <row r="2" spans="1:21" x14ac:dyDescent="0.25">
      <c r="A2" t="s">
        <v>476</v>
      </c>
      <c r="B2" t="s">
        <v>476</v>
      </c>
      <c r="C2" t="s">
        <v>476</v>
      </c>
      <c r="D2" t="s">
        <v>476</v>
      </c>
      <c r="E2" t="s">
        <v>476</v>
      </c>
      <c r="F2" t="s">
        <v>476</v>
      </c>
      <c r="G2" t="s">
        <v>476</v>
      </c>
      <c r="H2" t="s">
        <v>476</v>
      </c>
      <c r="I2" t="s">
        <v>476</v>
      </c>
      <c r="J2" t="s">
        <v>476</v>
      </c>
      <c r="K2" t="s">
        <v>476</v>
      </c>
      <c r="L2" t="s">
        <v>476</v>
      </c>
      <c r="M2" t="s">
        <v>476</v>
      </c>
      <c r="N2" t="s">
        <v>476</v>
      </c>
      <c r="O2" t="s">
        <v>476</v>
      </c>
      <c r="P2" t="s">
        <v>476</v>
      </c>
      <c r="Q2" t="s">
        <v>476</v>
      </c>
      <c r="R2" t="s">
        <v>476</v>
      </c>
      <c r="S2" t="s">
        <v>476</v>
      </c>
      <c r="T2" t="s">
        <v>476</v>
      </c>
      <c r="U2" t="s">
        <v>476</v>
      </c>
    </row>
    <row r="3" spans="1:21" x14ac:dyDescent="0.25">
      <c r="A3" t="s">
        <v>477</v>
      </c>
      <c r="B3" t="s">
        <v>477</v>
      </c>
      <c r="C3" t="s">
        <v>477</v>
      </c>
      <c r="D3" t="s">
        <v>477</v>
      </c>
      <c r="E3" t="s">
        <v>477</v>
      </c>
      <c r="F3" t="s">
        <v>477</v>
      </c>
      <c r="G3" t="s">
        <v>477</v>
      </c>
      <c r="H3" t="s">
        <v>477</v>
      </c>
      <c r="I3" t="s">
        <v>477</v>
      </c>
      <c r="J3" t="s">
        <v>477</v>
      </c>
      <c r="K3" t="s">
        <v>477</v>
      </c>
      <c r="L3" t="s">
        <v>477</v>
      </c>
      <c r="M3" t="s">
        <v>477</v>
      </c>
      <c r="N3" t="s">
        <v>477</v>
      </c>
      <c r="O3" t="s">
        <v>477</v>
      </c>
      <c r="P3" t="s">
        <v>477</v>
      </c>
      <c r="Q3" t="s">
        <v>477</v>
      </c>
      <c r="R3" t="s">
        <v>477</v>
      </c>
      <c r="S3" t="s">
        <v>477</v>
      </c>
      <c r="T3" t="s">
        <v>477</v>
      </c>
      <c r="U3" t="s">
        <v>477</v>
      </c>
    </row>
    <row r="4" spans="1:21" x14ac:dyDescent="0.25">
      <c r="A4" t="s">
        <v>478</v>
      </c>
      <c r="B4" t="s">
        <v>478</v>
      </c>
      <c r="C4" t="s">
        <v>478</v>
      </c>
      <c r="D4" t="s">
        <v>478</v>
      </c>
      <c r="E4" t="s">
        <v>478</v>
      </c>
      <c r="F4" t="s">
        <v>478</v>
      </c>
      <c r="G4" t="s">
        <v>478</v>
      </c>
      <c r="H4" t="s">
        <v>478</v>
      </c>
      <c r="I4" t="s">
        <v>478</v>
      </c>
      <c r="J4" t="s">
        <v>478</v>
      </c>
      <c r="K4" t="s">
        <v>478</v>
      </c>
      <c r="L4" t="s">
        <v>478</v>
      </c>
      <c r="M4" t="s">
        <v>478</v>
      </c>
      <c r="N4" t="s">
        <v>478</v>
      </c>
      <c r="O4" t="s">
        <v>478</v>
      </c>
      <c r="P4" t="s">
        <v>478</v>
      </c>
      <c r="Q4" t="s">
        <v>478</v>
      </c>
      <c r="R4" t="s">
        <v>478</v>
      </c>
      <c r="S4" t="s">
        <v>478</v>
      </c>
      <c r="T4" t="s">
        <v>478</v>
      </c>
      <c r="U4" t="s">
        <v>478</v>
      </c>
    </row>
    <row r="5" spans="1:21" x14ac:dyDescent="0.25">
      <c r="A5" t="s">
        <v>479</v>
      </c>
      <c r="B5" t="s">
        <v>479</v>
      </c>
      <c r="C5" t="s">
        <v>479</v>
      </c>
      <c r="D5" t="s">
        <v>479</v>
      </c>
      <c r="E5" t="s">
        <v>479</v>
      </c>
      <c r="F5" t="s">
        <v>479</v>
      </c>
      <c r="G5" t="s">
        <v>479</v>
      </c>
      <c r="H5" t="s">
        <v>479</v>
      </c>
      <c r="I5" t="s">
        <v>479</v>
      </c>
      <c r="J5" t="s">
        <v>479</v>
      </c>
      <c r="K5" t="s">
        <v>479</v>
      </c>
      <c r="L5" t="s">
        <v>479</v>
      </c>
      <c r="M5" t="s">
        <v>479</v>
      </c>
      <c r="N5" t="s">
        <v>479</v>
      </c>
      <c r="O5" t="s">
        <v>479</v>
      </c>
      <c r="P5" t="s">
        <v>479</v>
      </c>
      <c r="Q5" t="s">
        <v>479</v>
      </c>
      <c r="R5" t="s">
        <v>479</v>
      </c>
      <c r="S5" t="s">
        <v>479</v>
      </c>
      <c r="T5" t="s">
        <v>479</v>
      </c>
      <c r="U5" t="s">
        <v>479</v>
      </c>
    </row>
    <row r="6" spans="1:21" x14ac:dyDescent="0.25">
      <c r="A6" t="s">
        <v>480</v>
      </c>
      <c r="B6" t="s">
        <v>480</v>
      </c>
      <c r="C6" t="s">
        <v>480</v>
      </c>
      <c r="D6" t="s">
        <v>480</v>
      </c>
      <c r="E6" t="s">
        <v>480</v>
      </c>
      <c r="F6" t="s">
        <v>480</v>
      </c>
      <c r="G6" t="s">
        <v>480</v>
      </c>
      <c r="H6" t="s">
        <v>480</v>
      </c>
      <c r="I6" t="s">
        <v>480</v>
      </c>
      <c r="J6" t="s">
        <v>480</v>
      </c>
      <c r="K6" t="s">
        <v>480</v>
      </c>
      <c r="L6" t="s">
        <v>480</v>
      </c>
      <c r="M6" t="s">
        <v>480</v>
      </c>
      <c r="N6" t="s">
        <v>480</v>
      </c>
      <c r="O6" t="s">
        <v>480</v>
      </c>
      <c r="P6" t="s">
        <v>480</v>
      </c>
      <c r="Q6" t="s">
        <v>480</v>
      </c>
      <c r="R6" t="s">
        <v>480</v>
      </c>
      <c r="S6" t="s">
        <v>480</v>
      </c>
      <c r="T6" t="s">
        <v>480</v>
      </c>
      <c r="U6" t="s">
        <v>480</v>
      </c>
    </row>
    <row r="7" spans="1:21" x14ac:dyDescent="0.25">
      <c r="A7" t="s">
        <v>481</v>
      </c>
      <c r="B7" t="s">
        <v>481</v>
      </c>
      <c r="C7" t="s">
        <v>481</v>
      </c>
      <c r="D7" t="s">
        <v>481</v>
      </c>
      <c r="E7" t="s">
        <v>481</v>
      </c>
      <c r="F7" t="s">
        <v>481</v>
      </c>
      <c r="G7" t="s">
        <v>481</v>
      </c>
      <c r="H7" t="s">
        <v>481</v>
      </c>
      <c r="I7" t="s">
        <v>481</v>
      </c>
      <c r="J7" t="s">
        <v>481</v>
      </c>
      <c r="K7" t="s">
        <v>481</v>
      </c>
      <c r="L7" t="s">
        <v>481</v>
      </c>
      <c r="M7" t="s">
        <v>481</v>
      </c>
      <c r="N7" t="s">
        <v>481</v>
      </c>
      <c r="O7" t="s">
        <v>481</v>
      </c>
      <c r="P7" t="s">
        <v>481</v>
      </c>
      <c r="Q7" t="s">
        <v>481</v>
      </c>
      <c r="R7" t="s">
        <v>481</v>
      </c>
      <c r="S7" t="s">
        <v>481</v>
      </c>
      <c r="T7" t="s">
        <v>481</v>
      </c>
      <c r="U7" t="s">
        <v>481</v>
      </c>
    </row>
    <row r="8" spans="1:21" x14ac:dyDescent="0.25">
      <c r="A8" t="s">
        <v>482</v>
      </c>
      <c r="B8" t="s">
        <v>482</v>
      </c>
      <c r="C8" t="s">
        <v>482</v>
      </c>
      <c r="D8" t="s">
        <v>482</v>
      </c>
      <c r="E8" t="s">
        <v>482</v>
      </c>
      <c r="F8" t="s">
        <v>482</v>
      </c>
      <c r="G8" t="s">
        <v>482</v>
      </c>
      <c r="H8" t="s">
        <v>482</v>
      </c>
      <c r="I8" t="s">
        <v>482</v>
      </c>
      <c r="J8" t="s">
        <v>482</v>
      </c>
      <c r="K8" t="s">
        <v>482</v>
      </c>
      <c r="L8" t="s">
        <v>482</v>
      </c>
      <c r="M8" t="s">
        <v>482</v>
      </c>
      <c r="N8" t="s">
        <v>482</v>
      </c>
      <c r="O8" t="s">
        <v>482</v>
      </c>
      <c r="P8" t="s">
        <v>482</v>
      </c>
      <c r="Q8" t="s">
        <v>482</v>
      </c>
      <c r="R8" t="s">
        <v>482</v>
      </c>
      <c r="S8" t="s">
        <v>482</v>
      </c>
      <c r="T8" t="s">
        <v>482</v>
      </c>
      <c r="U8" t="s">
        <v>482</v>
      </c>
    </row>
    <row r="9" spans="1:21" x14ac:dyDescent="0.25">
      <c r="A9" t="s">
        <v>483</v>
      </c>
      <c r="B9" t="s">
        <v>483</v>
      </c>
      <c r="C9" t="s">
        <v>483</v>
      </c>
      <c r="D9" t="s">
        <v>483</v>
      </c>
      <c r="E9" t="s">
        <v>483</v>
      </c>
      <c r="F9" t="s">
        <v>483</v>
      </c>
      <c r="G9" t="s">
        <v>483</v>
      </c>
      <c r="H9" t="s">
        <v>483</v>
      </c>
      <c r="I9" t="s">
        <v>483</v>
      </c>
      <c r="J9" t="s">
        <v>483</v>
      </c>
      <c r="K9" t="s">
        <v>483</v>
      </c>
      <c r="L9" t="s">
        <v>483</v>
      </c>
      <c r="M9" t="s">
        <v>483</v>
      </c>
      <c r="N9" t="s">
        <v>483</v>
      </c>
      <c r="O9" t="s">
        <v>483</v>
      </c>
      <c r="P9" t="s">
        <v>483</v>
      </c>
      <c r="Q9" t="s">
        <v>483</v>
      </c>
      <c r="R9" t="s">
        <v>483</v>
      </c>
      <c r="S9" t="s">
        <v>483</v>
      </c>
      <c r="T9" t="s">
        <v>483</v>
      </c>
      <c r="U9" t="s">
        <v>483</v>
      </c>
    </row>
    <row r="10" spans="1:21" x14ac:dyDescent="0.25">
      <c r="A10" t="s">
        <v>484</v>
      </c>
      <c r="B10" t="s">
        <v>484</v>
      </c>
      <c r="C10" t="s">
        <v>484</v>
      </c>
      <c r="D10" t="s">
        <v>484</v>
      </c>
      <c r="E10" t="s">
        <v>484</v>
      </c>
      <c r="F10" t="s">
        <v>484</v>
      </c>
      <c r="G10" t="s">
        <v>484</v>
      </c>
      <c r="H10" t="s">
        <v>484</v>
      </c>
      <c r="I10" t="s">
        <v>484</v>
      </c>
      <c r="J10" t="s">
        <v>484</v>
      </c>
      <c r="K10" t="s">
        <v>484</v>
      </c>
      <c r="L10" t="s">
        <v>484</v>
      </c>
      <c r="M10" t="s">
        <v>484</v>
      </c>
      <c r="N10" t="s">
        <v>484</v>
      </c>
      <c r="O10" t="s">
        <v>484</v>
      </c>
      <c r="P10" t="s">
        <v>484</v>
      </c>
      <c r="Q10" t="s">
        <v>484</v>
      </c>
      <c r="R10" t="s">
        <v>484</v>
      </c>
      <c r="S10" t="s">
        <v>484</v>
      </c>
      <c r="T10" t="s">
        <v>484</v>
      </c>
      <c r="U10" t="s">
        <v>484</v>
      </c>
    </row>
  </sheetData>
  <pageMargins left="0.7" right="0.7" top="0.75" bottom="0.75" header="0.3" footer="0.3"/>
  <pageSetup paperSize="9" orientation="portrait" r:id="rId1"/>
  <headerFooter>
    <oddHeader>&amp;R&amp;"Calibri"&amp;10&amp;KFF8C00Information Classification: CONTROLLED&amp;1#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6C478-1096-450F-8781-848393F885DE}">
  <dimension ref="A1"/>
  <sheetViews>
    <sheetView zoomScale="130" zoomScaleNormal="130" workbookViewId="0">
      <selection activeCell="T29" sqref="T29"/>
    </sheetView>
  </sheetViews>
  <sheetFormatPr defaultRowHeight="12.5" x14ac:dyDescent="0.25"/>
  <sheetData/>
  <pageMargins left="0.7" right="0.7" top="0.75" bottom="0.75" header="0.3" footer="0.3"/>
  <pageSetup paperSize="9" orientation="portrait" r:id="rId1"/>
  <headerFooter>
    <oddHeader>&amp;R&amp;"Calibri"&amp;10&amp;KFF8C00Information Classification: CONTROLLED&amp;1#</oddHeader>
  </headerFooter>
  <customProperties>
    <customPr name="SSC_SHEET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7634-7A0F-4CBC-8A91-EB26313C3D13}">
  <sheetPr>
    <pageSetUpPr fitToPage="1"/>
  </sheetPr>
  <dimension ref="B2:N17"/>
  <sheetViews>
    <sheetView zoomScale="130" zoomScaleNormal="130" workbookViewId="0">
      <selection activeCell="E8" sqref="E8:M8"/>
    </sheetView>
  </sheetViews>
  <sheetFormatPr defaultRowHeight="12.5" x14ac:dyDescent="0.25"/>
  <cols>
    <col min="2" max="2" width="1.1796875" customWidth="1"/>
    <col min="3" max="3" width="6.81640625" customWidth="1"/>
    <col min="4" max="4" width="7.54296875" customWidth="1"/>
    <col min="6" max="6" width="10.54296875" customWidth="1"/>
    <col min="13" max="13" width="16.54296875" customWidth="1"/>
    <col min="14" max="14" width="1.453125" customWidth="1"/>
  </cols>
  <sheetData>
    <row r="2" spans="2:14" ht="9.65" customHeight="1" thickBot="1" x14ac:dyDescent="0.3"/>
    <row r="3" spans="2:14" ht="7" customHeight="1" x14ac:dyDescent="0.25">
      <c r="B3" s="1"/>
      <c r="C3" s="2"/>
      <c r="D3" s="2"/>
      <c r="E3" s="2"/>
      <c r="F3" s="2"/>
      <c r="G3" s="2"/>
      <c r="H3" s="2"/>
      <c r="I3" s="2"/>
      <c r="J3" s="2"/>
      <c r="K3" s="2"/>
      <c r="L3" s="2"/>
      <c r="M3" s="2"/>
      <c r="N3" s="3"/>
    </row>
    <row r="4" spans="2:14" ht="13" x14ac:dyDescent="0.3">
      <c r="B4" s="4"/>
      <c r="C4" s="394" t="s">
        <v>133</v>
      </c>
      <c r="D4" s="395"/>
      <c r="E4" s="395"/>
      <c r="F4" s="396"/>
      <c r="G4" s="380"/>
      <c r="H4" s="381"/>
      <c r="I4" s="381"/>
      <c r="J4" s="381"/>
      <c r="K4" s="381"/>
      <c r="L4" s="381"/>
      <c r="M4" s="382"/>
      <c r="N4" s="6"/>
    </row>
    <row r="5" spans="2:14" ht="13" x14ac:dyDescent="0.3">
      <c r="B5" s="4"/>
      <c r="C5" s="74"/>
      <c r="D5" s="75"/>
      <c r="E5" s="76"/>
      <c r="F5" s="75"/>
      <c r="G5" s="75"/>
      <c r="H5" s="75"/>
      <c r="I5" s="75"/>
      <c r="J5" s="75"/>
      <c r="K5" s="75"/>
      <c r="L5" s="75"/>
      <c r="M5" s="75"/>
      <c r="N5" s="6"/>
    </row>
    <row r="6" spans="2:14" ht="91.5" customHeight="1" x14ac:dyDescent="0.3">
      <c r="B6" s="4"/>
      <c r="C6" s="392" t="s">
        <v>134</v>
      </c>
      <c r="D6" s="393"/>
      <c r="E6" s="397"/>
      <c r="F6" s="398"/>
      <c r="G6" s="398"/>
      <c r="H6" s="398"/>
      <c r="I6" s="398"/>
      <c r="J6" s="398"/>
      <c r="K6" s="398"/>
      <c r="L6" s="398"/>
      <c r="M6" s="399"/>
      <c r="N6" s="6"/>
    </row>
    <row r="7" spans="2:14" ht="13" x14ac:dyDescent="0.3">
      <c r="B7" s="4"/>
      <c r="C7" s="74"/>
      <c r="D7" s="75"/>
      <c r="E7" s="76"/>
      <c r="F7" s="75"/>
      <c r="G7" s="75"/>
      <c r="H7" s="75"/>
      <c r="I7" s="75"/>
      <c r="J7" s="75"/>
      <c r="K7" s="75"/>
      <c r="L7" s="75"/>
      <c r="M7" s="75"/>
      <c r="N7" s="6"/>
    </row>
    <row r="8" spans="2:14" ht="99.65" customHeight="1" x14ac:dyDescent="0.3">
      <c r="B8" s="4"/>
      <c r="C8" s="392" t="s">
        <v>135</v>
      </c>
      <c r="D8" s="393"/>
      <c r="E8" s="397" t="s">
        <v>136</v>
      </c>
      <c r="F8" s="398"/>
      <c r="G8" s="398"/>
      <c r="H8" s="398"/>
      <c r="I8" s="398"/>
      <c r="J8" s="398"/>
      <c r="K8" s="398"/>
      <c r="L8" s="398"/>
      <c r="M8" s="399"/>
      <c r="N8" s="6"/>
    </row>
    <row r="9" spans="2:14" ht="13" x14ac:dyDescent="0.3">
      <c r="B9" s="4"/>
      <c r="C9" s="74"/>
      <c r="D9" s="75"/>
      <c r="E9" s="76"/>
      <c r="F9" s="75"/>
      <c r="G9" s="75"/>
      <c r="H9" s="75"/>
      <c r="I9" s="75"/>
      <c r="J9" s="75"/>
      <c r="K9" s="75"/>
      <c r="L9" s="75"/>
      <c r="M9" s="75"/>
      <c r="N9" s="6"/>
    </row>
    <row r="10" spans="2:14" ht="13" x14ac:dyDescent="0.3">
      <c r="B10" s="4"/>
      <c r="C10" s="77" t="s">
        <v>137</v>
      </c>
      <c r="D10" s="380"/>
      <c r="E10" s="381"/>
      <c r="F10" s="381"/>
      <c r="G10" s="381"/>
      <c r="H10" s="381"/>
      <c r="I10" s="381"/>
      <c r="J10" s="381"/>
      <c r="K10" s="381"/>
      <c r="L10" s="381"/>
      <c r="M10" s="382"/>
      <c r="N10" s="6"/>
    </row>
    <row r="11" spans="2:14" ht="13" x14ac:dyDescent="0.3">
      <c r="B11" s="4"/>
      <c r="C11" s="75"/>
      <c r="D11" s="75"/>
      <c r="E11" s="75"/>
      <c r="F11" s="75"/>
      <c r="G11" s="75"/>
      <c r="H11" s="75"/>
      <c r="I11" s="75"/>
      <c r="J11" s="75"/>
      <c r="K11" s="75"/>
      <c r="L11" s="75"/>
      <c r="M11" s="75"/>
      <c r="N11" s="6"/>
    </row>
    <row r="12" spans="2:14" ht="13" x14ac:dyDescent="0.3">
      <c r="B12" s="4"/>
      <c r="C12" s="394" t="s">
        <v>138</v>
      </c>
      <c r="D12" s="395"/>
      <c r="E12" s="395"/>
      <c r="F12" s="395"/>
      <c r="G12" s="395"/>
      <c r="H12" s="395"/>
      <c r="I12" s="395"/>
      <c r="J12" s="395"/>
      <c r="K12" s="395"/>
      <c r="L12" s="395"/>
      <c r="M12" s="396"/>
      <c r="N12" s="6"/>
    </row>
    <row r="13" spans="2:14" x14ac:dyDescent="0.25">
      <c r="B13" s="4"/>
      <c r="C13" s="383"/>
      <c r="D13" s="384"/>
      <c r="E13" s="384"/>
      <c r="F13" s="384"/>
      <c r="G13" s="384"/>
      <c r="H13" s="384"/>
      <c r="I13" s="384"/>
      <c r="J13" s="384"/>
      <c r="K13" s="384"/>
      <c r="L13" s="384"/>
      <c r="M13" s="385"/>
      <c r="N13" s="6"/>
    </row>
    <row r="14" spans="2:14" x14ac:dyDescent="0.25">
      <c r="B14" s="4"/>
      <c r="C14" s="386"/>
      <c r="D14" s="387"/>
      <c r="E14" s="387"/>
      <c r="F14" s="387"/>
      <c r="G14" s="387"/>
      <c r="H14" s="387"/>
      <c r="I14" s="387"/>
      <c r="J14" s="387"/>
      <c r="K14" s="387"/>
      <c r="L14" s="387"/>
      <c r="M14" s="388"/>
      <c r="N14" s="6"/>
    </row>
    <row r="15" spans="2:14" x14ac:dyDescent="0.25">
      <c r="B15" s="4"/>
      <c r="C15" s="386"/>
      <c r="D15" s="387"/>
      <c r="E15" s="387"/>
      <c r="F15" s="387"/>
      <c r="G15" s="387"/>
      <c r="H15" s="387"/>
      <c r="I15" s="387"/>
      <c r="J15" s="387"/>
      <c r="K15" s="387"/>
      <c r="L15" s="387"/>
      <c r="M15" s="388"/>
      <c r="N15" s="6"/>
    </row>
    <row r="16" spans="2:14" ht="71.150000000000006" customHeight="1" x14ac:dyDescent="0.25">
      <c r="B16" s="4"/>
      <c r="C16" s="389"/>
      <c r="D16" s="390"/>
      <c r="E16" s="390"/>
      <c r="F16" s="390"/>
      <c r="G16" s="390"/>
      <c r="H16" s="390"/>
      <c r="I16" s="390"/>
      <c r="J16" s="390"/>
      <c r="K16" s="390"/>
      <c r="L16" s="390"/>
      <c r="M16" s="391"/>
      <c r="N16" s="6"/>
    </row>
    <row r="17" spans="2:14" ht="7" customHeight="1" thickBot="1" x14ac:dyDescent="0.3">
      <c r="B17" s="7"/>
      <c r="C17" s="8"/>
      <c r="D17" s="8"/>
      <c r="E17" s="8"/>
      <c r="F17" s="8"/>
      <c r="G17" s="8"/>
      <c r="H17" s="8"/>
      <c r="I17" s="8"/>
      <c r="J17" s="8"/>
      <c r="K17" s="8"/>
      <c r="L17" s="8"/>
      <c r="M17" s="8"/>
      <c r="N17" s="9"/>
    </row>
  </sheetData>
  <sheetProtection formatCells="0" formatColumns="0" formatRows="0" insertColumns="0" insertRows="0" insertHyperlinks="0" selectLockedCells="1" sort="0" autoFilter="0" pivotTables="0"/>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2" orientation="portrait" r:id="rId1"/>
  <headerFooter>
    <oddHeader>&amp;LPhosphate Budget Calculator&amp;CProject Title&amp;R&amp;"Calibri"&amp;10&amp;KFF8C00Information Classification: CONTROLLED&amp;1#</oddHeader>
    <oddFooter>&amp;LVersion 1.0&amp;R&amp;D</oddFooter>
  </headerFooter>
  <customProperties>
    <customPr name="SSC_SHEET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0E52-5235-41CA-BD68-07163707C988}">
  <sheetPr>
    <tabColor theme="9" tint="0.79998168889431442"/>
    <pageSetUpPr fitToPage="1"/>
  </sheetPr>
  <dimension ref="B1:AY60"/>
  <sheetViews>
    <sheetView tabSelected="1" topLeftCell="F1" zoomScaleNormal="100" workbookViewId="0">
      <selection activeCell="W11" sqref="W11"/>
    </sheetView>
  </sheetViews>
  <sheetFormatPr defaultRowHeight="12.5" x14ac:dyDescent="0.25"/>
  <cols>
    <col min="2" max="2" width="2.26953125" customWidth="1"/>
    <col min="3" max="3" width="2.453125" customWidth="1"/>
    <col min="4" max="4" width="8.7265625" customWidth="1"/>
    <col min="5" max="5" width="13.81640625" customWidth="1"/>
    <col min="7" max="7" width="11.81640625" customWidth="1"/>
    <col min="8" max="8" width="1.81640625" customWidth="1"/>
    <col min="9" max="9" width="3.1796875" customWidth="1"/>
    <col min="10" max="10" width="7" customWidth="1"/>
    <col min="11" max="11" width="25.453125" customWidth="1"/>
    <col min="12" max="12" width="13.81640625" customWidth="1"/>
    <col min="13" max="13" width="12.26953125" customWidth="1"/>
    <col min="14" max="14" width="3.1796875" customWidth="1"/>
    <col min="15" max="15" width="7.81640625" customWidth="1"/>
    <col min="16" max="16" width="5.54296875" customWidth="1"/>
    <col min="17" max="17" width="0.54296875" customWidth="1"/>
    <col min="18" max="18" width="4.26953125" hidden="1" customWidth="1"/>
    <col min="19" max="19" width="3.1796875" customWidth="1"/>
    <col min="20" max="20" width="2.81640625" customWidth="1"/>
    <col min="21" max="21" width="4.54296875" customWidth="1"/>
    <col min="22" max="22" width="9.81640625" bestFit="1" customWidth="1"/>
    <col min="24" max="24" width="8.7265625" customWidth="1"/>
    <col min="25" max="25" width="13.453125" customWidth="1"/>
    <col min="26" max="26" width="1.453125" customWidth="1"/>
    <col min="27" max="27" width="0.81640625" customWidth="1"/>
    <col min="28" max="28" width="15.1796875" customWidth="1"/>
    <col min="29" max="29" width="2.7265625" customWidth="1"/>
    <col min="30" max="30" width="4" customWidth="1"/>
    <col min="31" max="31" width="32.7265625" customWidth="1"/>
    <col min="32" max="32" width="11.1796875" customWidth="1"/>
    <col min="33" max="33" width="0.7265625" customWidth="1"/>
    <col min="34" max="34" width="6.81640625" customWidth="1"/>
    <col min="35" max="35" width="1.26953125" customWidth="1"/>
    <col min="36" max="36" width="1.1796875" customWidth="1"/>
  </cols>
  <sheetData>
    <row r="1" spans="3:36" ht="13" thickBot="1" x14ac:dyDescent="0.3"/>
    <row r="2" spans="3:36" ht="3.65" customHeight="1" x14ac:dyDescent="0.3">
      <c r="C2" s="78"/>
      <c r="D2" s="78"/>
      <c r="E2" s="78"/>
      <c r="F2" s="78"/>
      <c r="G2" s="78"/>
      <c r="H2" s="79"/>
      <c r="I2" s="80"/>
      <c r="J2" s="80"/>
      <c r="K2" s="80"/>
      <c r="L2" s="80"/>
      <c r="M2" s="80"/>
      <c r="N2" s="80"/>
      <c r="O2" s="80"/>
      <c r="P2" s="80"/>
      <c r="Q2" s="80"/>
      <c r="R2" s="80"/>
      <c r="S2" s="80"/>
      <c r="T2" s="80"/>
      <c r="U2" s="80"/>
      <c r="V2" s="80"/>
      <c r="W2" s="80"/>
      <c r="X2" s="80"/>
      <c r="Y2" s="80"/>
      <c r="Z2" s="80"/>
      <c r="AA2" s="81"/>
      <c r="AB2" s="78"/>
      <c r="AC2" s="78"/>
      <c r="AD2" s="78"/>
      <c r="AE2" s="78"/>
      <c r="AF2" s="78"/>
      <c r="AG2" s="78"/>
      <c r="AH2" s="78"/>
      <c r="AI2" s="78"/>
      <c r="AJ2" s="78"/>
    </row>
    <row r="3" spans="3:36" ht="38.5" customHeight="1" x14ac:dyDescent="0.3">
      <c r="C3" s="78"/>
      <c r="D3" s="78"/>
      <c r="E3" s="78"/>
      <c r="F3" s="78"/>
      <c r="G3" s="78"/>
      <c r="H3" s="82"/>
      <c r="I3" s="413" t="s">
        <v>139</v>
      </c>
      <c r="J3" s="413"/>
      <c r="K3" s="411" t="s">
        <v>140</v>
      </c>
      <c r="L3" s="411"/>
      <c r="M3" s="411"/>
      <c r="N3" s="411"/>
      <c r="O3" s="411"/>
      <c r="P3" s="411"/>
      <c r="Q3" s="411"/>
      <c r="R3" s="411"/>
      <c r="S3" s="411"/>
      <c r="T3" s="411"/>
      <c r="U3" s="411"/>
      <c r="V3" s="411"/>
      <c r="W3" s="411"/>
      <c r="X3" s="411"/>
      <c r="Y3" s="411"/>
      <c r="Z3" s="291"/>
      <c r="AA3" s="83"/>
      <c r="AB3" s="78"/>
      <c r="AC3" s="78"/>
      <c r="AD3" s="78"/>
      <c r="AE3" s="78"/>
      <c r="AF3" s="78"/>
      <c r="AG3" s="78"/>
      <c r="AH3" s="78"/>
      <c r="AI3" s="78"/>
      <c r="AJ3" s="78"/>
    </row>
    <row r="4" spans="3:36" ht="12.65" customHeight="1" x14ac:dyDescent="0.3">
      <c r="C4" s="78"/>
      <c r="D4" s="78"/>
      <c r="E4" s="78"/>
      <c r="F4" s="78"/>
      <c r="G4" s="78"/>
      <c r="H4" s="82"/>
      <c r="I4" s="405" t="s">
        <v>141</v>
      </c>
      <c r="J4" s="405"/>
      <c r="K4" s="405"/>
      <c r="L4" s="405"/>
      <c r="M4" s="405"/>
      <c r="N4" s="405"/>
      <c r="O4" s="405"/>
      <c r="P4" s="405"/>
      <c r="Q4" s="405"/>
      <c r="R4" s="405"/>
      <c r="S4" s="405"/>
      <c r="T4" s="405"/>
      <c r="U4" s="405"/>
      <c r="V4" s="405"/>
      <c r="W4" s="405"/>
      <c r="X4" s="405"/>
      <c r="Y4" s="405"/>
      <c r="Z4" s="301"/>
      <c r="AA4" s="83"/>
      <c r="AB4" s="78"/>
      <c r="AC4" s="78"/>
      <c r="AD4" s="78"/>
      <c r="AE4" s="78"/>
      <c r="AF4" s="78"/>
      <c r="AG4" s="78"/>
      <c r="AH4" s="78"/>
      <c r="AI4" s="78"/>
      <c r="AJ4" s="78"/>
    </row>
    <row r="5" spans="3:36" ht="13" x14ac:dyDescent="0.3">
      <c r="C5" s="78"/>
      <c r="D5" s="78"/>
      <c r="E5" s="78"/>
      <c r="F5" s="78"/>
      <c r="G5" s="78"/>
      <c r="H5" s="82"/>
      <c r="I5" s="405"/>
      <c r="J5" s="405"/>
      <c r="K5" s="405"/>
      <c r="L5" s="405"/>
      <c r="M5" s="405"/>
      <c r="N5" s="405"/>
      <c r="O5" s="405"/>
      <c r="P5" s="405"/>
      <c r="Q5" s="405"/>
      <c r="R5" s="405"/>
      <c r="S5" s="405"/>
      <c r="T5" s="405"/>
      <c r="U5" s="405"/>
      <c r="V5" s="405"/>
      <c r="W5" s="405"/>
      <c r="X5" s="405"/>
      <c r="Y5" s="405"/>
      <c r="Z5" s="301"/>
      <c r="AA5" s="83"/>
      <c r="AB5" s="78"/>
      <c r="AC5" s="78"/>
      <c r="AD5" s="78"/>
      <c r="AE5" s="78"/>
      <c r="AF5" s="78"/>
      <c r="AG5" s="78"/>
      <c r="AH5" s="78"/>
      <c r="AI5" s="78"/>
      <c r="AJ5" s="78"/>
    </row>
    <row r="6" spans="3:36" ht="23.5" customHeight="1" x14ac:dyDescent="0.3">
      <c r="C6" s="78"/>
      <c r="D6" s="78"/>
      <c r="E6" s="78"/>
      <c r="F6" s="78"/>
      <c r="G6" s="78"/>
      <c r="H6" s="82"/>
      <c r="I6" s="412"/>
      <c r="J6" s="412"/>
      <c r="K6" s="412"/>
      <c r="L6" s="412"/>
      <c r="M6" s="412"/>
      <c r="N6" s="412"/>
      <c r="O6" s="412"/>
      <c r="P6" s="412"/>
      <c r="Q6" s="412"/>
      <c r="R6" s="412"/>
      <c r="S6" s="412"/>
      <c r="T6" s="412"/>
      <c r="U6" s="412"/>
      <c r="V6" s="412"/>
      <c r="W6" s="412"/>
      <c r="X6" s="412"/>
      <c r="Y6" s="412"/>
      <c r="Z6" s="301"/>
      <c r="AA6" s="83"/>
      <c r="AB6" s="78"/>
      <c r="AC6" s="78"/>
      <c r="AD6" s="78"/>
      <c r="AE6" s="78"/>
      <c r="AF6" s="78"/>
      <c r="AG6" s="78"/>
      <c r="AH6" s="78"/>
      <c r="AI6" s="78"/>
      <c r="AJ6" s="78"/>
    </row>
    <row r="7" spans="3:36" ht="4" customHeight="1" x14ac:dyDescent="0.3">
      <c r="C7" s="78"/>
      <c r="D7" s="78"/>
      <c r="E7" s="78"/>
      <c r="F7" s="78"/>
      <c r="G7" s="78"/>
      <c r="H7" s="82"/>
      <c r="I7" s="37"/>
      <c r="J7" s="37"/>
      <c r="K7" s="37"/>
      <c r="L7" s="37"/>
      <c r="M7" s="292"/>
      <c r="N7" s="292"/>
      <c r="O7" s="292"/>
      <c r="P7" s="292"/>
      <c r="Q7" s="292"/>
      <c r="R7" s="292"/>
      <c r="S7" s="292"/>
      <c r="T7" s="292"/>
      <c r="U7" s="292"/>
      <c r="V7" s="292"/>
      <c r="W7" s="292"/>
      <c r="X7" s="292"/>
      <c r="Y7" s="292"/>
      <c r="Z7" s="292"/>
      <c r="AA7" s="83"/>
      <c r="AB7" s="78"/>
      <c r="AC7" s="78"/>
      <c r="AD7" s="78"/>
      <c r="AE7" s="78"/>
      <c r="AF7" s="78"/>
      <c r="AG7" s="78"/>
      <c r="AH7" s="78"/>
      <c r="AI7" s="78"/>
      <c r="AJ7" s="78"/>
    </row>
    <row r="8" spans="3:36" ht="15.5" x14ac:dyDescent="0.3">
      <c r="C8" s="78"/>
      <c r="D8" s="78"/>
      <c r="E8" s="78"/>
      <c r="F8" s="78"/>
      <c r="G8" s="78"/>
      <c r="H8" s="82"/>
      <c r="I8" s="84"/>
      <c r="J8" s="85" t="s">
        <v>142</v>
      </c>
      <c r="K8" s="401" t="s">
        <v>143</v>
      </c>
      <c r="L8" s="401"/>
      <c r="M8" s="401"/>
      <c r="N8" s="401"/>
      <c r="O8" s="401"/>
      <c r="P8" s="401"/>
      <c r="Q8" s="401"/>
      <c r="R8" s="401"/>
      <c r="S8" s="401"/>
      <c r="T8" s="401"/>
      <c r="U8" s="401"/>
      <c r="V8" s="401"/>
      <c r="W8" s="303" t="s">
        <v>144</v>
      </c>
      <c r="X8" s="303"/>
      <c r="Y8" s="303" t="s">
        <v>145</v>
      </c>
      <c r="Z8" s="75"/>
      <c r="AA8" s="83"/>
      <c r="AB8" s="78"/>
      <c r="AC8" s="78"/>
      <c r="AD8" s="78"/>
      <c r="AE8" s="78"/>
      <c r="AF8" s="78"/>
      <c r="AG8" s="78"/>
      <c r="AH8" s="78"/>
      <c r="AI8" s="78"/>
      <c r="AJ8" s="78"/>
    </row>
    <row r="9" spans="3:36" ht="3.65" customHeight="1" x14ac:dyDescent="0.3">
      <c r="C9" s="78"/>
      <c r="D9" s="78"/>
      <c r="E9" s="78"/>
      <c r="F9" s="78"/>
      <c r="G9" s="78"/>
      <c r="H9" s="82"/>
      <c r="I9" s="37"/>
      <c r="J9" s="37"/>
      <c r="K9" s="37"/>
      <c r="L9" s="37"/>
      <c r="M9" s="37"/>
      <c r="N9" s="37"/>
      <c r="O9" s="37"/>
      <c r="P9" s="37"/>
      <c r="Q9" s="37"/>
      <c r="R9" s="37"/>
      <c r="S9" s="37"/>
      <c r="T9" s="37"/>
      <c r="U9" s="37"/>
      <c r="V9" s="37"/>
      <c r="W9" s="37"/>
      <c r="X9" s="37"/>
      <c r="Y9" s="37"/>
      <c r="Z9" s="75"/>
      <c r="AA9" s="83"/>
      <c r="AB9" s="78"/>
      <c r="AC9" s="78"/>
      <c r="AD9" s="78"/>
      <c r="AE9" s="78"/>
      <c r="AF9" s="78"/>
      <c r="AG9" s="78"/>
      <c r="AH9" s="78"/>
      <c r="AI9" s="78"/>
      <c r="AJ9" s="78"/>
    </row>
    <row r="10" spans="3:36" ht="3.65" customHeight="1" x14ac:dyDescent="0.3">
      <c r="C10" s="78"/>
      <c r="D10" s="78"/>
      <c r="E10" s="78"/>
      <c r="F10" s="78"/>
      <c r="G10" s="78"/>
      <c r="H10" s="82"/>
      <c r="I10" s="37"/>
      <c r="J10" s="37"/>
      <c r="K10" s="37"/>
      <c r="L10" s="37"/>
      <c r="M10" s="37"/>
      <c r="N10" s="37"/>
      <c r="O10" s="37"/>
      <c r="P10" s="37"/>
      <c r="Q10" s="37"/>
      <c r="R10" s="37"/>
      <c r="S10" s="37"/>
      <c r="T10" s="37"/>
      <c r="U10" s="37"/>
      <c r="V10" s="37"/>
      <c r="W10" s="37"/>
      <c r="X10" s="37"/>
      <c r="Y10" s="37"/>
      <c r="Z10" s="75"/>
      <c r="AA10" s="83"/>
      <c r="AB10" s="78"/>
      <c r="AC10" s="78"/>
      <c r="AD10" s="78"/>
      <c r="AE10" s="78"/>
      <c r="AF10" s="78"/>
      <c r="AG10" s="78"/>
      <c r="AH10" s="78"/>
      <c r="AI10" s="78"/>
      <c r="AJ10" s="78"/>
    </row>
    <row r="11" spans="3:36" ht="13" x14ac:dyDescent="0.3">
      <c r="C11" s="78"/>
      <c r="D11" s="78"/>
      <c r="E11" s="78"/>
      <c r="F11" s="78"/>
      <c r="G11" s="78"/>
      <c r="H11" s="82"/>
      <c r="I11" s="37"/>
      <c r="J11" s="37"/>
      <c r="K11" s="400" t="s">
        <v>146</v>
      </c>
      <c r="L11" s="400"/>
      <c r="M11" s="400"/>
      <c r="N11" s="400"/>
      <c r="O11" s="400"/>
      <c r="P11" s="400"/>
      <c r="Q11" s="400"/>
      <c r="R11" s="400"/>
      <c r="S11" s="400"/>
      <c r="T11" s="400"/>
      <c r="U11" s="400"/>
      <c r="V11" s="400"/>
      <c r="W11" s="306"/>
      <c r="X11" s="172"/>
      <c r="Y11" s="86" t="s">
        <v>147</v>
      </c>
      <c r="Z11" s="75"/>
      <c r="AA11" s="83"/>
      <c r="AB11" s="78"/>
      <c r="AC11" s="78"/>
      <c r="AD11" s="78"/>
      <c r="AE11" s="88"/>
      <c r="AF11" s="88"/>
      <c r="AG11" s="78"/>
      <c r="AH11" s="78"/>
      <c r="AI11" s="78"/>
      <c r="AJ11" s="78"/>
    </row>
    <row r="12" spans="3:36" ht="13" x14ac:dyDescent="0.3">
      <c r="C12" s="78"/>
      <c r="D12" s="78"/>
      <c r="E12" s="78"/>
      <c r="F12" s="78"/>
      <c r="G12" s="78"/>
      <c r="H12" s="82"/>
      <c r="I12" s="37"/>
      <c r="J12" s="37"/>
      <c r="K12" s="400" t="s">
        <v>148</v>
      </c>
      <c r="L12" s="400"/>
      <c r="M12" s="400"/>
      <c r="N12" s="400"/>
      <c r="O12" s="400"/>
      <c r="P12" s="89"/>
      <c r="Q12" s="89"/>
      <c r="R12" s="89"/>
      <c r="S12" s="37"/>
      <c r="T12" s="37"/>
      <c r="U12" s="37"/>
      <c r="V12" s="37"/>
      <c r="W12" s="87">
        <v>2.38</v>
      </c>
      <c r="X12" s="303"/>
      <c r="Y12" s="299" t="s">
        <v>149</v>
      </c>
      <c r="Z12" s="75"/>
      <c r="AA12" s="83"/>
      <c r="AB12" s="78"/>
      <c r="AC12" s="78"/>
      <c r="AD12" s="78"/>
      <c r="AE12" s="88"/>
      <c r="AF12" s="88"/>
      <c r="AG12" s="78"/>
      <c r="AH12" s="78"/>
      <c r="AI12" s="78"/>
      <c r="AJ12" s="78"/>
    </row>
    <row r="13" spans="3:36" ht="13" x14ac:dyDescent="0.3">
      <c r="C13" s="78"/>
      <c r="D13" s="78"/>
      <c r="E13" s="78"/>
      <c r="F13" s="78"/>
      <c r="G13" s="78"/>
      <c r="H13" s="82"/>
      <c r="I13" s="37"/>
      <c r="J13" s="37"/>
      <c r="K13" s="289"/>
      <c r="L13" s="289"/>
      <c r="M13" s="289"/>
      <c r="N13" s="289"/>
      <c r="O13" s="289"/>
      <c r="P13" s="89"/>
      <c r="Q13" s="89"/>
      <c r="R13" s="89"/>
      <c r="S13" s="37"/>
      <c r="T13" s="37"/>
      <c r="U13" s="37"/>
      <c r="V13" s="37"/>
      <c r="W13" s="303"/>
      <c r="X13" s="303"/>
      <c r="Y13" s="299"/>
      <c r="Z13" s="75"/>
      <c r="AA13" s="83"/>
      <c r="AB13" s="78"/>
      <c r="AC13" s="78"/>
      <c r="AD13" s="78"/>
      <c r="AE13" s="88"/>
      <c r="AF13" s="88"/>
      <c r="AG13" s="78"/>
      <c r="AH13" s="78"/>
      <c r="AI13" s="78"/>
      <c r="AJ13" s="78"/>
    </row>
    <row r="14" spans="3:36" ht="26.5" customHeight="1" x14ac:dyDescent="0.3">
      <c r="C14" s="78"/>
      <c r="D14" s="78"/>
      <c r="E14" s="78"/>
      <c r="F14" s="78"/>
      <c r="G14" s="78"/>
      <c r="H14" s="82"/>
      <c r="I14" s="37"/>
      <c r="J14" s="37"/>
      <c r="K14" s="404" t="s">
        <v>150</v>
      </c>
      <c r="L14" s="404"/>
      <c r="M14" s="404"/>
      <c r="N14" s="404"/>
      <c r="O14" s="404"/>
      <c r="P14" s="404"/>
      <c r="Q14" s="404"/>
      <c r="R14" s="404"/>
      <c r="S14" s="404"/>
      <c r="T14" s="404"/>
      <c r="U14" s="404"/>
      <c r="V14" s="404"/>
      <c r="W14" s="306"/>
      <c r="X14" s="172"/>
      <c r="Y14" s="86" t="s">
        <v>147</v>
      </c>
      <c r="Z14" s="75"/>
      <c r="AA14" s="83"/>
      <c r="AB14" s="78"/>
      <c r="AC14" s="78"/>
      <c r="AD14" s="78"/>
      <c r="AE14" s="88"/>
      <c r="AF14" s="88"/>
      <c r="AG14" s="78"/>
      <c r="AH14" s="78"/>
      <c r="AI14" s="78"/>
      <c r="AJ14" s="78"/>
    </row>
    <row r="15" spans="3:36" ht="13" x14ac:dyDescent="0.3">
      <c r="C15" s="78"/>
      <c r="D15" s="78"/>
      <c r="E15" s="78"/>
      <c r="F15" s="78"/>
      <c r="G15" s="78"/>
      <c r="H15" s="82"/>
      <c r="I15" s="37"/>
      <c r="J15" s="37"/>
      <c r="K15" s="400" t="s">
        <v>148</v>
      </c>
      <c r="L15" s="400"/>
      <c r="M15" s="400"/>
      <c r="N15" s="400"/>
      <c r="O15" s="400"/>
      <c r="P15" s="400"/>
      <c r="Q15" s="400"/>
      <c r="R15" s="400"/>
      <c r="S15" s="400"/>
      <c r="T15" s="400"/>
      <c r="U15" s="400"/>
      <c r="V15" s="400"/>
      <c r="W15" s="87">
        <v>2.38</v>
      </c>
      <c r="X15" s="303"/>
      <c r="Y15" s="299" t="s">
        <v>149</v>
      </c>
      <c r="Z15" s="75"/>
      <c r="AA15" s="83"/>
      <c r="AB15" s="78"/>
      <c r="AC15" s="78"/>
      <c r="AD15" s="78"/>
      <c r="AE15" s="88"/>
      <c r="AF15" s="88"/>
      <c r="AG15" s="78"/>
      <c r="AH15" s="78"/>
      <c r="AI15" s="78"/>
      <c r="AJ15" s="78"/>
    </row>
    <row r="16" spans="3:36" ht="13" x14ac:dyDescent="0.3">
      <c r="C16" s="78"/>
      <c r="D16" s="78"/>
      <c r="E16" s="78"/>
      <c r="F16" s="78"/>
      <c r="G16" s="78"/>
      <c r="H16" s="82"/>
      <c r="I16" s="37"/>
      <c r="J16" s="37"/>
      <c r="K16" s="289"/>
      <c r="L16" s="289"/>
      <c r="M16" s="289"/>
      <c r="N16" s="289"/>
      <c r="O16" s="289"/>
      <c r="P16" s="89"/>
      <c r="Q16" s="89"/>
      <c r="R16" s="89"/>
      <c r="S16" s="37"/>
      <c r="T16" s="37"/>
      <c r="U16" s="37"/>
      <c r="V16" s="37"/>
      <c r="W16" s="303"/>
      <c r="X16" s="303"/>
      <c r="Y16" s="299"/>
      <c r="Z16" s="75"/>
      <c r="AA16" s="83"/>
      <c r="AB16" s="78"/>
      <c r="AC16" s="78"/>
      <c r="AD16" s="78"/>
      <c r="AE16" s="88"/>
      <c r="AF16" s="88"/>
      <c r="AG16" s="78"/>
      <c r="AH16" s="78"/>
      <c r="AI16" s="78"/>
      <c r="AJ16" s="78"/>
    </row>
    <row r="17" spans="3:37" ht="13" x14ac:dyDescent="0.3">
      <c r="C17" s="78"/>
      <c r="D17" s="78"/>
      <c r="E17" s="78"/>
      <c r="F17" s="78"/>
      <c r="G17" s="78"/>
      <c r="H17" s="82"/>
      <c r="I17" s="37"/>
      <c r="J17" s="37"/>
      <c r="K17" s="400" t="s">
        <v>151</v>
      </c>
      <c r="L17" s="400"/>
      <c r="M17" s="400"/>
      <c r="N17" s="400"/>
      <c r="O17" s="400"/>
      <c r="P17" s="400"/>
      <c r="Q17" s="400"/>
      <c r="R17" s="400"/>
      <c r="S17" s="400"/>
      <c r="T17" s="400"/>
      <c r="U17" s="400"/>
      <c r="V17" s="400"/>
      <c r="W17" s="306"/>
      <c r="X17" s="172"/>
      <c r="Y17" s="86" t="s">
        <v>147</v>
      </c>
      <c r="Z17" s="75"/>
      <c r="AA17" s="83"/>
      <c r="AB17" s="78"/>
      <c r="AC17" s="78"/>
      <c r="AD17" s="78"/>
      <c r="AE17" s="88"/>
      <c r="AF17" s="88"/>
      <c r="AG17" s="78"/>
      <c r="AH17" s="78"/>
      <c r="AI17" s="78"/>
      <c r="AJ17" s="78"/>
    </row>
    <row r="18" spans="3:37" ht="13" x14ac:dyDescent="0.3">
      <c r="C18" s="78"/>
      <c r="D18" s="78"/>
      <c r="E18" s="78"/>
      <c r="F18" s="78"/>
      <c r="G18" s="78"/>
      <c r="H18" s="82"/>
      <c r="I18" s="37"/>
      <c r="J18" s="37"/>
      <c r="K18" s="400" t="s">
        <v>148</v>
      </c>
      <c r="L18" s="400"/>
      <c r="M18" s="400"/>
      <c r="N18" s="400"/>
      <c r="O18" s="400"/>
      <c r="P18" s="400"/>
      <c r="Q18" s="400"/>
      <c r="R18" s="400"/>
      <c r="S18" s="400"/>
      <c r="T18" s="400"/>
      <c r="U18" s="400"/>
      <c r="V18" s="400"/>
      <c r="W18" s="87">
        <v>2.38</v>
      </c>
      <c r="X18" s="303"/>
      <c r="Y18" s="299" t="s">
        <v>149</v>
      </c>
      <c r="Z18" s="75"/>
      <c r="AA18" s="83"/>
      <c r="AB18" s="78"/>
      <c r="AC18" s="78"/>
      <c r="AD18" s="78"/>
      <c r="AE18" s="88"/>
      <c r="AF18" s="88"/>
      <c r="AG18" s="78"/>
      <c r="AH18" s="78"/>
      <c r="AI18" s="78"/>
      <c r="AJ18" s="78"/>
    </row>
    <row r="19" spans="3:37" ht="13" x14ac:dyDescent="0.3">
      <c r="C19" s="78"/>
      <c r="D19" s="78"/>
      <c r="E19" s="78"/>
      <c r="F19" s="78"/>
      <c r="G19" s="78"/>
      <c r="H19" s="82"/>
      <c r="I19" s="37"/>
      <c r="J19" s="37"/>
      <c r="K19" s="400" t="s">
        <v>152</v>
      </c>
      <c r="L19" s="400"/>
      <c r="M19" s="400"/>
      <c r="N19" s="400"/>
      <c r="O19" s="400"/>
      <c r="P19" s="400"/>
      <c r="Q19" s="400"/>
      <c r="R19" s="400"/>
      <c r="S19" s="400"/>
      <c r="T19" s="400"/>
      <c r="U19" s="400"/>
      <c r="V19" s="400"/>
      <c r="W19" s="306"/>
      <c r="X19" s="172"/>
      <c r="Y19" s="299" t="s">
        <v>153</v>
      </c>
      <c r="Z19" s="75"/>
      <c r="AA19" s="83"/>
      <c r="AB19" s="78"/>
      <c r="AC19" s="78"/>
      <c r="AD19" s="78"/>
      <c r="AE19" s="88"/>
      <c r="AF19" s="88"/>
      <c r="AG19" s="78"/>
      <c r="AH19" s="78"/>
      <c r="AI19" s="78"/>
      <c r="AJ19" s="78"/>
    </row>
    <row r="20" spans="3:37" ht="12.65" customHeight="1" x14ac:dyDescent="0.3">
      <c r="C20" s="78"/>
      <c r="D20" s="78"/>
      <c r="E20" s="78"/>
      <c r="F20" s="78"/>
      <c r="G20" s="78"/>
      <c r="H20" s="82"/>
      <c r="I20" s="37"/>
      <c r="J20" s="37"/>
      <c r="K20" s="400" t="s">
        <v>154</v>
      </c>
      <c r="L20" s="400"/>
      <c r="M20" s="400"/>
      <c r="N20" s="400"/>
      <c r="O20" s="400"/>
      <c r="P20" s="400"/>
      <c r="Q20" s="400"/>
      <c r="R20" s="400"/>
      <c r="S20" s="400"/>
      <c r="T20" s="400"/>
      <c r="U20" s="400"/>
      <c r="V20" s="400"/>
      <c r="W20" s="306"/>
      <c r="X20" s="172"/>
      <c r="Y20" s="86" t="s">
        <v>155</v>
      </c>
      <c r="Z20" s="75"/>
      <c r="AA20" s="83"/>
      <c r="AB20" s="78"/>
      <c r="AC20" s="78"/>
      <c r="AD20" s="78"/>
      <c r="AE20" s="88"/>
      <c r="AF20" s="88"/>
      <c r="AG20" s="78"/>
      <c r="AH20" s="78"/>
      <c r="AI20" s="78"/>
      <c r="AJ20" s="78"/>
    </row>
    <row r="21" spans="3:37" ht="8.5" customHeight="1" x14ac:dyDescent="0.3">
      <c r="C21" s="78"/>
      <c r="D21" s="78"/>
      <c r="E21" s="78"/>
      <c r="F21" s="78"/>
      <c r="G21" s="78"/>
      <c r="H21" s="82"/>
      <c r="I21" s="37"/>
      <c r="J21" s="37"/>
      <c r="K21" s="37"/>
      <c r="L21" s="37"/>
      <c r="M21" s="37"/>
      <c r="N21" s="37"/>
      <c r="O21" s="37"/>
      <c r="P21" s="37"/>
      <c r="Q21" s="37"/>
      <c r="R21" s="37"/>
      <c r="S21" s="37"/>
      <c r="T21" s="37"/>
      <c r="U21" s="37"/>
      <c r="V21" s="37"/>
      <c r="W21" s="303"/>
      <c r="X21" s="303"/>
      <c r="Y21" s="86"/>
      <c r="Z21" s="75"/>
      <c r="AA21" s="83"/>
      <c r="AB21" s="78"/>
      <c r="AC21" s="78"/>
      <c r="AD21" s="78"/>
      <c r="AE21" s="88"/>
      <c r="AF21" s="88"/>
      <c r="AG21" s="78"/>
      <c r="AH21" s="78"/>
      <c r="AI21" s="78"/>
      <c r="AJ21" s="78"/>
    </row>
    <row r="22" spans="3:37" ht="15" customHeight="1" x14ac:dyDescent="0.3">
      <c r="C22" s="78"/>
      <c r="D22" s="78"/>
      <c r="E22" s="78"/>
      <c r="F22" s="78"/>
      <c r="G22" s="78"/>
      <c r="H22" s="82"/>
      <c r="I22" s="37"/>
      <c r="J22" s="37"/>
      <c r="K22" s="406" t="s">
        <v>156</v>
      </c>
      <c r="L22" s="406"/>
      <c r="M22" s="406"/>
      <c r="N22" s="406"/>
      <c r="O22" s="406"/>
      <c r="P22" s="406"/>
      <c r="Q22" s="406"/>
      <c r="R22" s="406"/>
      <c r="S22" s="406"/>
      <c r="T22" s="406"/>
      <c r="U22" s="406"/>
      <c r="V22" s="406"/>
      <c r="W22" s="268">
        <f>(W11*W12)+(IF(W14&gt;0,6+(W14*W15),0))+((W17*W18)*(W19/52)*(W20/100))</f>
        <v>0</v>
      </c>
      <c r="X22" s="161"/>
      <c r="Y22" s="90" t="s">
        <v>157</v>
      </c>
      <c r="Z22" s="75"/>
      <c r="AA22" s="83"/>
      <c r="AB22" s="78"/>
      <c r="AC22" s="78"/>
      <c r="AD22" s="78"/>
      <c r="AE22" s="88"/>
      <c r="AF22" s="88"/>
      <c r="AG22" s="78"/>
      <c r="AH22" s="78"/>
      <c r="AI22" s="78"/>
      <c r="AJ22" s="78"/>
    </row>
    <row r="23" spans="3:37" ht="15" customHeight="1" x14ac:dyDescent="0.3">
      <c r="C23" s="78"/>
      <c r="D23" s="78"/>
      <c r="E23" s="78"/>
      <c r="F23" s="78"/>
      <c r="G23" s="78"/>
      <c r="H23" s="82"/>
      <c r="I23" s="97"/>
      <c r="J23" s="97"/>
      <c r="K23" s="162"/>
      <c r="L23" s="162"/>
      <c r="M23" s="162"/>
      <c r="N23" s="162"/>
      <c r="O23" s="162"/>
      <c r="P23" s="162"/>
      <c r="Q23" s="162"/>
      <c r="R23" s="162"/>
      <c r="S23" s="162"/>
      <c r="T23" s="162"/>
      <c r="U23" s="162"/>
      <c r="V23" s="162"/>
      <c r="W23" s="163"/>
      <c r="X23" s="163"/>
      <c r="Y23" s="164"/>
      <c r="Z23" s="75"/>
      <c r="AA23" s="83"/>
      <c r="AB23" s="78"/>
      <c r="AC23" s="78"/>
      <c r="AD23" s="78"/>
      <c r="AE23" s="88"/>
      <c r="AF23" s="88"/>
      <c r="AG23" s="78"/>
      <c r="AH23" s="78"/>
      <c r="AI23" s="78"/>
      <c r="AJ23" s="78"/>
    </row>
    <row r="24" spans="3:37" ht="15" customHeight="1" x14ac:dyDescent="0.3">
      <c r="C24" s="78"/>
      <c r="D24" s="78"/>
      <c r="E24" s="78"/>
      <c r="F24" s="78"/>
      <c r="G24" s="78"/>
      <c r="H24" s="82"/>
      <c r="I24" s="37"/>
      <c r="J24" s="37"/>
      <c r="K24" s="296"/>
      <c r="L24" s="296"/>
      <c r="M24" s="296"/>
      <c r="N24" s="296"/>
      <c r="O24" s="296"/>
      <c r="P24" s="296"/>
      <c r="Q24" s="296"/>
      <c r="R24" s="296"/>
      <c r="S24" s="296"/>
      <c r="T24" s="296"/>
      <c r="U24" s="296"/>
      <c r="V24" s="296"/>
      <c r="W24" s="161"/>
      <c r="X24" s="161"/>
      <c r="Y24" s="90"/>
      <c r="Z24" s="75"/>
      <c r="AA24" s="83"/>
      <c r="AB24" s="78"/>
      <c r="AC24" s="78"/>
      <c r="AD24" s="78"/>
      <c r="AE24" s="88"/>
      <c r="AF24" s="88"/>
      <c r="AG24" s="78"/>
      <c r="AH24" s="78"/>
      <c r="AI24" s="78"/>
      <c r="AJ24" s="78"/>
    </row>
    <row r="25" spans="3:37" ht="15" customHeight="1" x14ac:dyDescent="0.3">
      <c r="C25" s="78"/>
      <c r="D25" s="78"/>
      <c r="E25" s="78"/>
      <c r="F25" s="78"/>
      <c r="G25" s="78"/>
      <c r="H25" s="82"/>
      <c r="I25" s="37"/>
      <c r="J25" s="85" t="s">
        <v>158</v>
      </c>
      <c r="K25" s="403" t="s">
        <v>159</v>
      </c>
      <c r="L25" s="403"/>
      <c r="M25" s="403"/>
      <c r="N25" s="403"/>
      <c r="O25" s="403"/>
      <c r="P25" s="296"/>
      <c r="Q25" s="296"/>
      <c r="R25" s="296"/>
      <c r="S25" s="296"/>
      <c r="T25" s="296"/>
      <c r="U25" s="296"/>
      <c r="V25" s="296"/>
      <c r="W25" s="161"/>
      <c r="X25" s="161"/>
      <c r="Y25" s="90"/>
      <c r="Z25" s="75"/>
      <c r="AA25" s="83"/>
      <c r="AB25" s="78"/>
      <c r="AC25" s="78"/>
      <c r="AD25" s="78"/>
      <c r="AE25" s="88"/>
      <c r="AF25" s="88"/>
      <c r="AG25" s="78"/>
      <c r="AH25" s="78"/>
      <c r="AI25" s="78"/>
      <c r="AJ25" s="78"/>
    </row>
    <row r="26" spans="3:37" ht="15" customHeight="1" x14ac:dyDescent="0.3">
      <c r="C26" s="78"/>
      <c r="D26" s="78"/>
      <c r="E26" s="78"/>
      <c r="F26" s="78"/>
      <c r="G26" s="78"/>
      <c r="H26" s="82"/>
      <c r="I26" s="37"/>
      <c r="J26" s="37"/>
      <c r="K26" s="296"/>
      <c r="L26" s="296"/>
      <c r="M26" s="296"/>
      <c r="N26" s="296"/>
      <c r="O26" s="296"/>
      <c r="P26" s="296"/>
      <c r="Q26" s="296"/>
      <c r="R26" s="296"/>
      <c r="S26" s="296"/>
      <c r="T26" s="296"/>
      <c r="U26" s="296"/>
      <c r="V26" s="296"/>
      <c r="W26" s="161"/>
      <c r="X26" s="161"/>
      <c r="Y26" s="90"/>
      <c r="Z26" s="75"/>
      <c r="AA26" s="83"/>
      <c r="AB26" s="78"/>
      <c r="AC26" s="78"/>
      <c r="AD26" s="78"/>
      <c r="AE26" s="88"/>
      <c r="AF26" s="88"/>
      <c r="AG26" s="78"/>
      <c r="AH26" s="78"/>
      <c r="AI26" s="78"/>
      <c r="AJ26" s="78"/>
    </row>
    <row r="27" spans="3:37" ht="15" customHeight="1" x14ac:dyDescent="0.3">
      <c r="C27" s="78"/>
      <c r="D27" s="78"/>
      <c r="E27" s="78"/>
      <c r="F27" s="78"/>
      <c r="G27" s="78"/>
      <c r="H27" s="82"/>
      <c r="I27" s="37"/>
      <c r="J27" s="37"/>
      <c r="K27" s="400" t="s">
        <v>160</v>
      </c>
      <c r="L27" s="400"/>
      <c r="M27" s="400"/>
      <c r="N27" s="400"/>
      <c r="O27" s="400"/>
      <c r="P27" s="296"/>
      <c r="Q27" s="296"/>
      <c r="R27" s="296"/>
      <c r="S27" s="296"/>
      <c r="T27" s="296"/>
      <c r="U27" s="296"/>
      <c r="V27" s="296"/>
      <c r="W27" s="447">
        <v>120</v>
      </c>
      <c r="X27" s="161"/>
      <c r="Y27" s="408" t="s">
        <v>161</v>
      </c>
      <c r="Z27" s="408"/>
      <c r="AA27" s="83"/>
      <c r="AB27" s="78"/>
      <c r="AC27" s="78"/>
      <c r="AD27" s="78"/>
      <c r="AE27" s="88"/>
      <c r="AF27" s="88"/>
      <c r="AG27" s="78"/>
      <c r="AH27" s="78"/>
      <c r="AI27" s="78"/>
      <c r="AJ27" s="78"/>
    </row>
    <row r="28" spans="3:37" ht="15" customHeight="1" x14ac:dyDescent="0.3">
      <c r="C28" s="78"/>
      <c r="D28" s="78"/>
      <c r="E28" s="78"/>
      <c r="F28" s="78"/>
      <c r="G28" s="78"/>
      <c r="H28" s="82"/>
      <c r="I28" s="37"/>
      <c r="J28" s="37"/>
      <c r="K28" s="296"/>
      <c r="L28" s="296"/>
      <c r="M28" s="296"/>
      <c r="N28" s="296"/>
      <c r="O28" s="296"/>
      <c r="P28" s="296"/>
      <c r="Q28" s="296"/>
      <c r="R28" s="296"/>
      <c r="S28" s="296"/>
      <c r="T28" s="296"/>
      <c r="U28" s="296"/>
      <c r="V28" s="296"/>
      <c r="W28" s="161"/>
      <c r="X28" s="161"/>
      <c r="Y28" s="90"/>
      <c r="Z28" s="75"/>
      <c r="AA28" s="83"/>
      <c r="AB28" s="78"/>
      <c r="AC28" s="78"/>
      <c r="AD28" s="78"/>
      <c r="AE28" s="88"/>
      <c r="AF28" s="88"/>
      <c r="AG28" s="78"/>
      <c r="AH28" s="78"/>
      <c r="AI28" s="78"/>
      <c r="AJ28" s="78"/>
    </row>
    <row r="29" spans="3:37" ht="13" x14ac:dyDescent="0.3">
      <c r="C29" s="78"/>
      <c r="D29" s="78"/>
      <c r="E29" s="78"/>
      <c r="F29" s="78"/>
      <c r="G29" s="78"/>
      <c r="H29" s="82"/>
      <c r="I29" s="37"/>
      <c r="J29" s="37"/>
      <c r="K29" s="402" t="s">
        <v>162</v>
      </c>
      <c r="L29" s="402"/>
      <c r="M29" s="402"/>
      <c r="N29" s="402"/>
      <c r="O29" s="402"/>
      <c r="P29" s="402"/>
      <c r="Q29" s="402"/>
      <c r="R29" s="402"/>
      <c r="S29" s="402"/>
      <c r="T29" s="37"/>
      <c r="U29" s="37"/>
      <c r="V29" s="37"/>
      <c r="W29" s="332">
        <f>W27*W22</f>
        <v>0</v>
      </c>
      <c r="X29" s="161"/>
      <c r="Y29" s="90" t="s">
        <v>163</v>
      </c>
      <c r="Z29" s="75"/>
      <c r="AA29" s="83"/>
      <c r="AB29" s="78"/>
      <c r="AC29" s="78"/>
      <c r="AD29" s="78"/>
      <c r="AE29" s="88"/>
      <c r="AF29" s="88"/>
      <c r="AG29" s="78"/>
      <c r="AH29" s="78"/>
      <c r="AI29" s="78"/>
      <c r="AJ29" s="78"/>
    </row>
    <row r="30" spans="3:37" ht="16" customHeight="1" x14ac:dyDescent="0.3">
      <c r="C30" s="78"/>
      <c r="D30" s="78"/>
      <c r="E30" s="78"/>
      <c r="F30" s="78"/>
      <c r="G30" s="78"/>
      <c r="H30" s="82"/>
      <c r="I30" s="405"/>
      <c r="J30" s="405"/>
      <c r="K30" s="405"/>
      <c r="L30" s="405"/>
      <c r="M30" s="405"/>
      <c r="N30" s="405"/>
      <c r="O30" s="405"/>
      <c r="P30" s="405"/>
      <c r="Q30" s="405"/>
      <c r="R30" s="405"/>
      <c r="S30" s="405"/>
      <c r="T30" s="405"/>
      <c r="U30" s="405"/>
      <c r="V30" s="405"/>
      <c r="W30" s="405"/>
      <c r="X30" s="405"/>
      <c r="Y30" s="405"/>
      <c r="Z30" s="301"/>
      <c r="AA30" s="83"/>
      <c r="AB30" s="78"/>
      <c r="AC30" s="78"/>
      <c r="AD30" s="78"/>
      <c r="AE30" s="88"/>
      <c r="AF30" s="88"/>
      <c r="AG30" s="78"/>
      <c r="AH30" s="78"/>
      <c r="AI30" s="78"/>
      <c r="AJ30" s="78"/>
    </row>
    <row r="31" spans="3:37" ht="11.15" customHeight="1" thickBot="1" x14ac:dyDescent="0.35">
      <c r="C31" s="91"/>
      <c r="D31" s="91"/>
      <c r="E31" s="91"/>
      <c r="F31" s="91"/>
      <c r="G31" s="92"/>
      <c r="H31" s="82"/>
      <c r="I31" s="37"/>
      <c r="J31" s="37"/>
      <c r="K31" s="37"/>
      <c r="L31" s="37"/>
      <c r="M31" s="93"/>
      <c r="N31" s="93"/>
      <c r="O31" s="93"/>
      <c r="P31" s="93"/>
      <c r="Q31" s="93"/>
      <c r="R31" s="93"/>
      <c r="S31" s="93"/>
      <c r="T31" s="93"/>
      <c r="U31" s="93"/>
      <c r="V31" s="93"/>
      <c r="W31" s="93"/>
      <c r="X31" s="93"/>
      <c r="Y31" s="93"/>
      <c r="Z31" s="94"/>
      <c r="AA31" s="83"/>
      <c r="AB31" s="91"/>
      <c r="AC31" s="91"/>
      <c r="AD31" s="91"/>
      <c r="AE31" s="95"/>
      <c r="AF31" s="95"/>
      <c r="AG31" s="91"/>
      <c r="AH31" s="91"/>
      <c r="AI31" s="91"/>
      <c r="AJ31" s="78"/>
    </row>
    <row r="32" spans="3:37" ht="53.5" customHeight="1" x14ac:dyDescent="0.3">
      <c r="C32" s="79"/>
      <c r="D32" s="37"/>
      <c r="E32" s="37"/>
      <c r="F32" s="37"/>
      <c r="G32" s="37"/>
      <c r="H32" s="37"/>
      <c r="I32" s="414" t="s">
        <v>164</v>
      </c>
      <c r="J32" s="414"/>
      <c r="K32" s="414"/>
      <c r="L32" s="414"/>
      <c r="M32" s="414"/>
      <c r="N32" s="414"/>
      <c r="O32" s="414"/>
      <c r="P32" s="414"/>
      <c r="Q32" s="414"/>
      <c r="R32" s="414"/>
      <c r="S32" s="414"/>
      <c r="T32" s="414"/>
      <c r="U32" s="414"/>
      <c r="V32" s="414"/>
      <c r="W32" s="414"/>
      <c r="X32" s="414"/>
      <c r="Y32" s="414"/>
      <c r="Z32" s="93"/>
      <c r="AA32" s="37"/>
      <c r="AB32" s="37"/>
      <c r="AC32" s="37"/>
      <c r="AD32" s="37"/>
      <c r="AE32" s="303"/>
      <c r="AF32" s="303"/>
      <c r="AG32" s="37"/>
      <c r="AH32" s="37"/>
      <c r="AI32" s="37"/>
      <c r="AJ32" s="81"/>
      <c r="AK32" s="32"/>
    </row>
    <row r="33" spans="2:51" ht="11.15" customHeight="1" x14ac:dyDescent="0.3">
      <c r="B33" s="17"/>
      <c r="C33" s="75"/>
      <c r="D33" s="37"/>
      <c r="E33" s="37"/>
      <c r="F33" s="37"/>
      <c r="G33" s="37"/>
      <c r="H33" s="37"/>
      <c r="I33" s="37"/>
      <c r="J33" s="37"/>
      <c r="K33" s="37"/>
      <c r="L33" s="37"/>
      <c r="M33" s="93"/>
      <c r="N33" s="93"/>
      <c r="O33" s="93"/>
      <c r="P33" s="93"/>
      <c r="Q33" s="93"/>
      <c r="R33" s="93"/>
      <c r="S33" s="93"/>
      <c r="T33" s="93"/>
      <c r="U33" s="93"/>
      <c r="V33" s="93"/>
      <c r="W33" s="93"/>
      <c r="X33" s="93"/>
      <c r="Y33" s="93"/>
      <c r="Z33" s="93"/>
      <c r="AA33" s="37"/>
      <c r="AB33" s="37"/>
      <c r="AC33" s="37"/>
      <c r="AD33" s="37"/>
      <c r="AE33" s="303"/>
      <c r="AF33" s="303"/>
      <c r="AG33" s="37"/>
      <c r="AH33" s="37"/>
      <c r="AI33" s="37"/>
      <c r="AJ33" s="83"/>
      <c r="AK33" s="32"/>
    </row>
    <row r="34" spans="2:51" ht="15" customHeight="1" x14ac:dyDescent="0.3">
      <c r="B34" s="17"/>
      <c r="C34" s="75"/>
      <c r="D34" s="37"/>
      <c r="E34" s="400" t="s">
        <v>165</v>
      </c>
      <c r="F34" s="400"/>
      <c r="G34" s="400"/>
      <c r="H34" s="400"/>
      <c r="I34" s="400"/>
      <c r="J34" s="400"/>
      <c r="K34" s="400"/>
      <c r="L34" s="289"/>
      <c r="M34" s="93"/>
      <c r="N34" s="93"/>
      <c r="O34" s="160" t="s">
        <v>166</v>
      </c>
      <c r="P34" s="93"/>
      <c r="Q34" s="93"/>
      <c r="R34" s="93"/>
      <c r="S34" s="93"/>
      <c r="T34" s="93"/>
      <c r="U34" s="93"/>
      <c r="V34" s="93"/>
      <c r="W34" s="407" t="s">
        <v>167</v>
      </c>
      <c r="X34" s="407"/>
      <c r="Y34" s="407"/>
      <c r="Z34" s="407"/>
      <c r="AA34" s="407"/>
      <c r="AB34" s="407"/>
      <c r="AC34" s="407"/>
      <c r="AD34" s="407"/>
      <c r="AE34" s="306" t="s">
        <v>206</v>
      </c>
      <c r="AF34" s="303"/>
      <c r="AG34" s="37"/>
      <c r="AH34" s="37"/>
      <c r="AI34" s="37"/>
      <c r="AJ34" s="83"/>
    </row>
    <row r="35" spans="2:51" ht="11.15" customHeight="1" x14ac:dyDescent="0.3">
      <c r="B35" s="17"/>
      <c r="C35" s="75"/>
      <c r="D35" s="37"/>
      <c r="E35" s="400"/>
      <c r="F35" s="400"/>
      <c r="G35" s="400"/>
      <c r="H35" s="400"/>
      <c r="I35" s="400"/>
      <c r="J35" s="400"/>
      <c r="K35" s="400"/>
      <c r="L35" s="289"/>
      <c r="M35" s="93"/>
      <c r="N35" s="93"/>
      <c r="O35" s="93"/>
      <c r="P35" s="93"/>
      <c r="Q35" s="93"/>
      <c r="R35" s="93"/>
      <c r="S35" s="93"/>
      <c r="T35" s="93"/>
      <c r="U35" s="93"/>
      <c r="V35" s="93"/>
      <c r="W35" s="93"/>
      <c r="X35" s="93"/>
      <c r="Y35" s="93"/>
      <c r="Z35" s="93"/>
      <c r="AA35" s="37"/>
      <c r="AB35" s="37"/>
      <c r="AC35" s="37"/>
      <c r="AD35" s="37"/>
      <c r="AE35" s="303"/>
      <c r="AF35" s="303"/>
      <c r="AG35" s="37"/>
      <c r="AH35" s="37"/>
      <c r="AI35" s="37"/>
      <c r="AJ35" s="83"/>
    </row>
    <row r="36" spans="2:51" ht="27.65" customHeight="1" x14ac:dyDescent="0.3">
      <c r="C36" s="82"/>
      <c r="D36" s="295" t="s">
        <v>168</v>
      </c>
      <c r="E36" s="403" t="s">
        <v>169</v>
      </c>
      <c r="F36" s="403"/>
      <c r="G36" s="403"/>
      <c r="H36" s="403"/>
      <c r="I36" s="403"/>
      <c r="J36" s="403"/>
      <c r="K36" s="403"/>
      <c r="L36" s="403"/>
      <c r="M36" s="403"/>
      <c r="N36" s="403"/>
      <c r="O36" s="403"/>
      <c r="P36" s="403"/>
      <c r="Q36" s="403"/>
      <c r="R36" s="403"/>
      <c r="S36" s="96"/>
      <c r="T36" s="37"/>
      <c r="U36" s="295" t="s">
        <v>170</v>
      </c>
      <c r="V36" s="409" t="s">
        <v>171</v>
      </c>
      <c r="W36" s="409"/>
      <c r="X36" s="409"/>
      <c r="Y36" s="409"/>
      <c r="Z36" s="409"/>
      <c r="AA36" s="409"/>
      <c r="AB36" s="409"/>
      <c r="AC36" s="409"/>
      <c r="AD36" s="409"/>
      <c r="AE36" s="409"/>
      <c r="AF36" s="409"/>
      <c r="AG36" s="409"/>
      <c r="AH36" s="409"/>
      <c r="AI36" s="409"/>
      <c r="AJ36" s="83"/>
    </row>
    <row r="37" spans="2:51" ht="14.5" customHeight="1" x14ac:dyDescent="0.3">
      <c r="C37" s="82"/>
      <c r="D37" s="405" t="s">
        <v>172</v>
      </c>
      <c r="E37" s="405"/>
      <c r="F37" s="405"/>
      <c r="G37" s="405"/>
      <c r="H37" s="405"/>
      <c r="I37" s="405"/>
      <c r="J37" s="405"/>
      <c r="K37" s="405"/>
      <c r="L37" s="405"/>
      <c r="M37" s="405"/>
      <c r="N37" s="405"/>
      <c r="O37" s="405"/>
      <c r="P37" s="405"/>
      <c r="Q37" s="405"/>
      <c r="R37" s="405"/>
      <c r="S37" s="96"/>
      <c r="T37" s="37"/>
      <c r="U37" s="405" t="s">
        <v>173</v>
      </c>
      <c r="V37" s="405"/>
      <c r="W37" s="405"/>
      <c r="X37" s="405"/>
      <c r="Y37" s="405"/>
      <c r="Z37" s="405"/>
      <c r="AA37" s="405"/>
      <c r="AB37" s="405"/>
      <c r="AC37" s="405"/>
      <c r="AD37" s="405"/>
      <c r="AE37" s="405"/>
      <c r="AF37" s="405"/>
      <c r="AG37" s="405"/>
      <c r="AH37" s="405"/>
      <c r="AI37" s="405"/>
      <c r="AJ37" s="83"/>
    </row>
    <row r="38" spans="2:51" ht="23.15" customHeight="1" x14ac:dyDescent="0.3">
      <c r="C38" s="82"/>
      <c r="D38" s="405"/>
      <c r="E38" s="405"/>
      <c r="F38" s="405"/>
      <c r="G38" s="405"/>
      <c r="H38" s="405"/>
      <c r="I38" s="405"/>
      <c r="J38" s="405"/>
      <c r="K38" s="405"/>
      <c r="L38" s="405"/>
      <c r="M38" s="405"/>
      <c r="N38" s="405"/>
      <c r="O38" s="405"/>
      <c r="P38" s="405"/>
      <c r="Q38" s="405"/>
      <c r="R38" s="405"/>
      <c r="S38" s="96"/>
      <c r="T38" s="37"/>
      <c r="U38" s="405"/>
      <c r="V38" s="405"/>
      <c r="W38" s="405"/>
      <c r="X38" s="405"/>
      <c r="Y38" s="405"/>
      <c r="Z38" s="405"/>
      <c r="AA38" s="405"/>
      <c r="AB38" s="405"/>
      <c r="AC38" s="405"/>
      <c r="AD38" s="405"/>
      <c r="AE38" s="405"/>
      <c r="AF38" s="405"/>
      <c r="AG38" s="405"/>
      <c r="AH38" s="405"/>
      <c r="AI38" s="405"/>
      <c r="AJ38" s="83"/>
    </row>
    <row r="39" spans="2:51" ht="48" customHeight="1" x14ac:dyDescent="0.3">
      <c r="C39" s="82"/>
      <c r="D39" s="405"/>
      <c r="E39" s="405"/>
      <c r="F39" s="405"/>
      <c r="G39" s="405"/>
      <c r="H39" s="405"/>
      <c r="I39" s="405"/>
      <c r="J39" s="405"/>
      <c r="K39" s="405"/>
      <c r="L39" s="405"/>
      <c r="M39" s="405"/>
      <c r="N39" s="405"/>
      <c r="O39" s="405"/>
      <c r="P39" s="405"/>
      <c r="Q39" s="405"/>
      <c r="R39" s="405"/>
      <c r="S39" s="96"/>
      <c r="T39" s="37"/>
      <c r="U39" s="405"/>
      <c r="V39" s="405"/>
      <c r="W39" s="405"/>
      <c r="X39" s="405"/>
      <c r="Y39" s="405"/>
      <c r="Z39" s="405"/>
      <c r="AA39" s="405"/>
      <c r="AB39" s="405"/>
      <c r="AC39" s="405"/>
      <c r="AD39" s="405"/>
      <c r="AE39" s="405"/>
      <c r="AF39" s="405"/>
      <c r="AG39" s="405"/>
      <c r="AH39" s="405"/>
      <c r="AI39" s="405"/>
      <c r="AJ39" s="83"/>
    </row>
    <row r="40" spans="2:51" ht="2.5" customHeight="1" x14ac:dyDescent="0.3">
      <c r="C40" s="82"/>
      <c r="D40" s="97"/>
      <c r="E40" s="97"/>
      <c r="F40" s="97"/>
      <c r="G40" s="97"/>
      <c r="H40" s="97"/>
      <c r="I40" s="97"/>
      <c r="J40" s="97"/>
      <c r="K40" s="97"/>
      <c r="L40" s="97"/>
      <c r="M40" s="97"/>
      <c r="N40" s="97"/>
      <c r="O40" s="97"/>
      <c r="P40" s="97"/>
      <c r="Q40" s="97"/>
      <c r="R40" s="97"/>
      <c r="S40" s="96"/>
      <c r="T40" s="37"/>
      <c r="U40" s="97"/>
      <c r="V40" s="97"/>
      <c r="W40" s="97"/>
      <c r="X40" s="97"/>
      <c r="Y40" s="97"/>
      <c r="Z40" s="97"/>
      <c r="AA40" s="97"/>
      <c r="AB40" s="97"/>
      <c r="AC40" s="97"/>
      <c r="AD40" s="97"/>
      <c r="AE40" s="97"/>
      <c r="AF40" s="97"/>
      <c r="AG40" s="97"/>
      <c r="AH40" s="97"/>
      <c r="AI40" s="97"/>
      <c r="AJ40" s="83"/>
    </row>
    <row r="41" spans="2:51" ht="12.65" customHeight="1" x14ac:dyDescent="0.3">
      <c r="C41" s="82"/>
      <c r="D41" s="101"/>
      <c r="E41" s="101"/>
      <c r="F41" s="101"/>
      <c r="G41" s="101"/>
      <c r="H41" s="101"/>
      <c r="I41" s="101"/>
      <c r="J41" s="101"/>
      <c r="K41" s="101"/>
      <c r="L41" s="37"/>
      <c r="M41" s="37"/>
      <c r="N41" s="37"/>
      <c r="O41" s="37"/>
      <c r="P41" s="37"/>
      <c r="Q41" s="37"/>
      <c r="R41" s="37"/>
      <c r="S41" s="96"/>
      <c r="T41" s="37"/>
      <c r="U41" s="98"/>
      <c r="V41" s="37"/>
      <c r="W41" s="37"/>
      <c r="X41" s="37"/>
      <c r="Y41" s="37"/>
      <c r="Z41" s="37"/>
      <c r="AA41" s="37"/>
      <c r="AB41" s="37"/>
      <c r="AC41" s="37"/>
      <c r="AD41" s="37"/>
      <c r="AE41" s="37"/>
      <c r="AF41" s="37"/>
      <c r="AG41" s="37"/>
      <c r="AH41" s="37"/>
      <c r="AI41" s="37"/>
      <c r="AJ41" s="83"/>
    </row>
    <row r="42" spans="2:51" ht="17.149999999999999" customHeight="1" x14ac:dyDescent="0.35">
      <c r="C42" s="82"/>
      <c r="D42" s="401" t="s">
        <v>174</v>
      </c>
      <c r="E42" s="401"/>
      <c r="F42" s="401"/>
      <c r="G42" s="401"/>
      <c r="H42" s="401"/>
      <c r="I42" s="401"/>
      <c r="J42" s="401"/>
      <c r="K42" s="303" t="s">
        <v>144</v>
      </c>
      <c r="L42" s="303"/>
      <c r="M42" s="37"/>
      <c r="N42" s="37"/>
      <c r="O42" s="303" t="s">
        <v>145</v>
      </c>
      <c r="P42" s="37"/>
      <c r="Q42" s="37"/>
      <c r="R42" s="37"/>
      <c r="S42" s="96"/>
      <c r="T42" s="37"/>
      <c r="U42" s="401" t="s">
        <v>175</v>
      </c>
      <c r="V42" s="401"/>
      <c r="W42" s="401"/>
      <c r="X42" s="401"/>
      <c r="Y42" s="401"/>
      <c r="Z42" s="401"/>
      <c r="AA42" s="401"/>
      <c r="AB42" s="401"/>
      <c r="AC42" s="401"/>
      <c r="AD42" s="401"/>
      <c r="AE42" s="303" t="s">
        <v>144</v>
      </c>
      <c r="AF42" s="37"/>
      <c r="AG42" s="37"/>
      <c r="AH42" s="37" t="s">
        <v>145</v>
      </c>
      <c r="AI42" s="37"/>
      <c r="AJ42" s="83"/>
      <c r="AM42" s="20"/>
      <c r="AT42" s="21"/>
      <c r="AV42" s="21"/>
    </row>
    <row r="43" spans="2:51" ht="15.5" x14ac:dyDescent="0.35">
      <c r="C43" s="82"/>
      <c r="D43" s="99"/>
      <c r="E43" s="37"/>
      <c r="F43" s="37"/>
      <c r="G43" s="37"/>
      <c r="H43" s="37"/>
      <c r="I43" s="37"/>
      <c r="J43" s="37"/>
      <c r="K43" s="303"/>
      <c r="L43" s="303"/>
      <c r="M43" s="37"/>
      <c r="N43" s="37"/>
      <c r="O43" s="303"/>
      <c r="P43" s="37"/>
      <c r="Q43" s="37"/>
      <c r="R43" s="37"/>
      <c r="S43" s="96"/>
      <c r="T43" s="37"/>
      <c r="U43" s="98"/>
      <c r="V43" s="37"/>
      <c r="W43" s="37"/>
      <c r="X43" s="37"/>
      <c r="Y43" s="37"/>
      <c r="Z43" s="37"/>
      <c r="AA43" s="37"/>
      <c r="AB43" s="37"/>
      <c r="AC43" s="37"/>
      <c r="AD43" s="37"/>
      <c r="AE43" s="37"/>
      <c r="AF43" s="37"/>
      <c r="AG43" s="37"/>
      <c r="AH43" s="37"/>
      <c r="AI43" s="37"/>
      <c r="AJ43" s="83"/>
      <c r="AM43" s="20"/>
      <c r="AT43" s="21"/>
      <c r="AV43" s="21"/>
    </row>
    <row r="44" spans="2:51" ht="16.5" customHeight="1" x14ac:dyDescent="0.3">
      <c r="C44" s="82"/>
      <c r="D44" s="400" t="s">
        <v>176</v>
      </c>
      <c r="E44" s="400"/>
      <c r="F44" s="400"/>
      <c r="G44" s="400"/>
      <c r="H44" s="400"/>
      <c r="I44" s="400"/>
      <c r="J44" s="400"/>
      <c r="K44" s="167" t="s">
        <v>177</v>
      </c>
      <c r="L44" s="37"/>
      <c r="M44" s="37"/>
      <c r="N44" s="37"/>
      <c r="O44" s="299"/>
      <c r="P44" s="37"/>
      <c r="Q44" s="37"/>
      <c r="R44" s="37"/>
      <c r="S44" s="96"/>
      <c r="T44" s="37"/>
      <c r="U44" s="400" t="s">
        <v>178</v>
      </c>
      <c r="V44" s="400"/>
      <c r="W44" s="400"/>
      <c r="X44" s="400"/>
      <c r="Y44" s="400"/>
      <c r="Z44" s="400"/>
      <c r="AA44" s="400"/>
      <c r="AB44" s="400"/>
      <c r="AC44" s="400"/>
      <c r="AD44" s="37"/>
      <c r="AE44" s="165" t="s">
        <v>179</v>
      </c>
      <c r="AF44" s="241"/>
      <c r="AG44" s="37"/>
      <c r="AH44" s="86"/>
      <c r="AI44" s="37"/>
      <c r="AJ44" s="83"/>
      <c r="AM44" s="23"/>
      <c r="AU44" s="25"/>
    </row>
    <row r="45" spans="2:51" ht="26.5" customHeight="1" x14ac:dyDescent="0.3">
      <c r="C45" s="82"/>
      <c r="D45" s="37"/>
      <c r="E45" s="37"/>
      <c r="F45" s="37"/>
      <c r="G45" s="37"/>
      <c r="H45" s="37"/>
      <c r="I45" s="37"/>
      <c r="J45" s="37"/>
      <c r="K45" s="37" t="s">
        <v>180</v>
      </c>
      <c r="L45" s="40" t="str">
        <f>IF(ISNUMBER(L46),"Post 2025 discharge","")</f>
        <v>Post 2025 discharge</v>
      </c>
      <c r="M45" s="40" t="s">
        <v>181</v>
      </c>
      <c r="N45" s="37"/>
      <c r="O45" s="86"/>
      <c r="P45" s="37"/>
      <c r="Q45" s="37"/>
      <c r="R45" s="37"/>
      <c r="S45" s="96"/>
      <c r="T45" s="37"/>
      <c r="U45" s="400" t="s">
        <v>136</v>
      </c>
      <c r="V45" s="400"/>
      <c r="W45" s="400"/>
      <c r="X45" s="400"/>
      <c r="Y45" s="400"/>
      <c r="Z45" s="400"/>
      <c r="AA45" s="400"/>
      <c r="AB45" s="400"/>
      <c r="AC45" s="37"/>
      <c r="AD45" s="37"/>
      <c r="AE45" s="141"/>
      <c r="AF45" s="141"/>
      <c r="AG45" s="103"/>
      <c r="AH45" s="86"/>
      <c r="AI45" s="37"/>
      <c r="AJ45" s="83"/>
      <c r="AV45" s="26"/>
    </row>
    <row r="46" spans="2:51" ht="27" customHeight="1" x14ac:dyDescent="0.3">
      <c r="C46" s="82"/>
      <c r="D46" s="400" t="s">
        <v>182</v>
      </c>
      <c r="E46" s="400"/>
      <c r="F46" s="400"/>
      <c r="G46" s="37"/>
      <c r="H46" s="37"/>
      <c r="I46" s="37"/>
      <c r="J46" s="37"/>
      <c r="K46" s="246">
        <f>VLOOKUP($K$44,'Data Tables'!$B$5:$H$11,3,FALSE)</f>
        <v>0.9</v>
      </c>
      <c r="L46" s="247">
        <f>IF(K46=VLOOKUP($K$44,'Data Tables'!$B$5:$H$11,5,FALSE),"",VLOOKUP($K$44,'Data Tables'!$B$5:$H$11,5,FALSE))</f>
        <v>0.45</v>
      </c>
      <c r="M46" s="263">
        <f>VLOOKUP($K$44,'Data Tables'!$B$5:$H$14,7,FALSE)</f>
        <v>0.22500000000000001</v>
      </c>
      <c r="N46" s="141"/>
      <c r="O46" s="86" t="s">
        <v>183</v>
      </c>
      <c r="P46" s="37"/>
      <c r="Q46" s="292"/>
      <c r="R46" s="37"/>
      <c r="S46" s="96"/>
      <c r="T46" s="37"/>
      <c r="U46" s="400" t="s">
        <v>184</v>
      </c>
      <c r="V46" s="400"/>
      <c r="W46" s="400"/>
      <c r="X46" s="400"/>
      <c r="Y46" s="400"/>
      <c r="Z46" s="37"/>
      <c r="AA46" s="37"/>
      <c r="AB46" s="37"/>
      <c r="AC46" s="37"/>
      <c r="AD46" s="37"/>
      <c r="AE46" s="166" t="str">
        <f>VLOOKUP(AE44,Table3[],2,FALSE)</f>
        <v>Please enter effluent concentration of 9.7mg/l in cell to right:</v>
      </c>
      <c r="AF46" s="242"/>
      <c r="AG46" s="103"/>
      <c r="AH46" s="86" t="s">
        <v>183</v>
      </c>
      <c r="AI46" s="37"/>
      <c r="AJ46" s="83"/>
      <c r="AM46" s="24"/>
      <c r="AT46" s="19"/>
      <c r="AV46" s="27"/>
      <c r="AX46" s="28"/>
    </row>
    <row r="47" spans="2:51" ht="15" customHeight="1" x14ac:dyDescent="0.3">
      <c r="C47" s="82"/>
      <c r="D47" s="298"/>
      <c r="E47" s="298"/>
      <c r="F47" s="298"/>
      <c r="G47" s="37"/>
      <c r="H47" s="37"/>
      <c r="I47" s="37"/>
      <c r="J47" s="37"/>
      <c r="K47" s="115"/>
      <c r="L47" s="115"/>
      <c r="M47" s="115"/>
      <c r="N47" s="37"/>
      <c r="O47" s="90"/>
      <c r="P47" s="37"/>
      <c r="Q47" s="292"/>
      <c r="R47" s="37"/>
      <c r="S47" s="96"/>
      <c r="T47" s="37"/>
      <c r="U47" s="37"/>
      <c r="V47" s="37"/>
      <c r="W47" s="37"/>
      <c r="X47" s="37"/>
      <c r="Y47" s="37"/>
      <c r="Z47" s="37"/>
      <c r="AA47" s="37"/>
      <c r="AB47" s="37"/>
      <c r="AC47" s="37"/>
      <c r="AD47" s="37"/>
      <c r="AE47" s="141"/>
      <c r="AF47" s="141"/>
      <c r="AG47" s="103"/>
      <c r="AH47" s="86"/>
      <c r="AI47" s="98"/>
      <c r="AJ47" s="83"/>
      <c r="AM47" s="24"/>
      <c r="AT47" s="19"/>
      <c r="AV47" s="27"/>
      <c r="AX47" s="28"/>
    </row>
    <row r="48" spans="2:51" ht="36.65" customHeight="1" x14ac:dyDescent="0.3">
      <c r="C48" s="82"/>
      <c r="D48" s="405" t="s">
        <v>185</v>
      </c>
      <c r="E48" s="405"/>
      <c r="F48" s="405"/>
      <c r="G48" s="405"/>
      <c r="H48" s="405"/>
      <c r="I48" s="405"/>
      <c r="J48" s="405"/>
      <c r="K48" s="405"/>
      <c r="L48" s="405"/>
      <c r="M48" s="405"/>
      <c r="N48" s="405"/>
      <c r="O48" s="405"/>
      <c r="P48" s="405"/>
      <c r="Q48" s="405"/>
      <c r="R48" s="405"/>
      <c r="S48" s="96"/>
      <c r="T48" s="37"/>
      <c r="U48" s="405" t="s">
        <v>186</v>
      </c>
      <c r="V48" s="405"/>
      <c r="W48" s="405"/>
      <c r="X48" s="405"/>
      <c r="Y48" s="405"/>
      <c r="Z48" s="405"/>
      <c r="AA48" s="405"/>
      <c r="AB48" s="405"/>
      <c r="AC48" s="405"/>
      <c r="AD48" s="405"/>
      <c r="AE48" s="405"/>
      <c r="AF48" s="405"/>
      <c r="AG48" s="405"/>
      <c r="AH48" s="405"/>
      <c r="AI48" s="405"/>
      <c r="AJ48" s="83"/>
      <c r="AM48" s="410"/>
      <c r="AN48" s="410"/>
      <c r="AO48" s="410"/>
      <c r="AP48" s="410"/>
      <c r="AQ48" s="410"/>
      <c r="AR48" s="410"/>
      <c r="AS48" s="410"/>
      <c r="AT48" s="410"/>
      <c r="AU48" s="410"/>
      <c r="AV48" s="410"/>
      <c r="AW48" s="410"/>
      <c r="AX48" s="410"/>
      <c r="AY48" s="410"/>
    </row>
    <row r="49" spans="2:51" ht="13" x14ac:dyDescent="0.3">
      <c r="C49" s="82"/>
      <c r="D49" s="293"/>
      <c r="E49" s="293"/>
      <c r="F49" s="293"/>
      <c r="G49" s="293"/>
      <c r="H49" s="293"/>
      <c r="I49" s="293"/>
      <c r="J49" s="293"/>
      <c r="K49" s="97"/>
      <c r="L49" s="97"/>
      <c r="M49" s="293"/>
      <c r="N49" s="293"/>
      <c r="O49" s="293"/>
      <c r="P49" s="293"/>
      <c r="Q49" s="293"/>
      <c r="R49" s="293"/>
      <c r="S49" s="96"/>
      <c r="T49" s="37"/>
      <c r="U49" s="97"/>
      <c r="V49" s="97"/>
      <c r="W49" s="97"/>
      <c r="X49" s="97"/>
      <c r="Y49" s="97"/>
      <c r="Z49" s="97"/>
      <c r="AA49" s="97"/>
      <c r="AB49" s="97"/>
      <c r="AC49" s="97"/>
      <c r="AD49" s="97"/>
      <c r="AE49" s="97"/>
      <c r="AF49" s="97"/>
      <c r="AG49" s="97"/>
      <c r="AH49" s="97"/>
      <c r="AI49" s="97"/>
      <c r="AJ49" s="83"/>
      <c r="AM49" s="290"/>
      <c r="AN49" s="290"/>
      <c r="AO49" s="290"/>
      <c r="AP49" s="290"/>
      <c r="AQ49" s="290"/>
      <c r="AR49" s="290"/>
      <c r="AS49" s="290"/>
      <c r="AT49" s="290"/>
      <c r="AU49" s="290"/>
      <c r="AV49" s="290"/>
      <c r="AW49" s="290"/>
      <c r="AX49" s="290"/>
      <c r="AY49" s="290"/>
    </row>
    <row r="50" spans="2:51" ht="13" x14ac:dyDescent="0.3">
      <c r="C50" s="82"/>
      <c r="D50" s="37"/>
      <c r="E50" s="37"/>
      <c r="F50" s="37"/>
      <c r="G50" s="37"/>
      <c r="H50" s="37"/>
      <c r="I50" s="37"/>
      <c r="J50" s="37"/>
      <c r="K50" s="37"/>
      <c r="L50" s="37"/>
      <c r="M50" s="37"/>
      <c r="N50" s="37"/>
      <c r="O50" s="37"/>
      <c r="P50" s="37"/>
      <c r="Q50" s="37"/>
      <c r="R50" s="37"/>
      <c r="S50" s="96"/>
      <c r="T50" s="37"/>
      <c r="U50" s="37"/>
      <c r="V50" s="37"/>
      <c r="W50" s="37"/>
      <c r="X50" s="37"/>
      <c r="Y50" s="37"/>
      <c r="Z50" s="37"/>
      <c r="AA50" s="37"/>
      <c r="AB50" s="37"/>
      <c r="AC50" s="37"/>
      <c r="AD50" s="37"/>
      <c r="AE50" s="37"/>
      <c r="AF50" s="37"/>
      <c r="AG50" s="37"/>
      <c r="AH50" s="37"/>
      <c r="AI50" s="37"/>
      <c r="AJ50" s="83"/>
    </row>
    <row r="51" spans="2:51" ht="15.5" x14ac:dyDescent="0.35">
      <c r="C51" s="82"/>
      <c r="D51" s="401" t="s">
        <v>187</v>
      </c>
      <c r="E51" s="401"/>
      <c r="F51" s="401"/>
      <c r="G51" s="401"/>
      <c r="H51" s="401"/>
      <c r="I51" s="401"/>
      <c r="J51" s="401"/>
      <c r="K51" s="303" t="s">
        <v>144</v>
      </c>
      <c r="L51" s="303"/>
      <c r="M51" s="170"/>
      <c r="N51" s="170"/>
      <c r="O51" s="234" t="s">
        <v>145</v>
      </c>
      <c r="P51" s="37"/>
      <c r="Q51" s="37"/>
      <c r="R51" s="37"/>
      <c r="S51" s="96"/>
      <c r="T51" s="37"/>
      <c r="U51" s="401" t="s">
        <v>188</v>
      </c>
      <c r="V51" s="401"/>
      <c r="W51" s="401"/>
      <c r="X51" s="401"/>
      <c r="Y51" s="401"/>
      <c r="Z51" s="401"/>
      <c r="AA51" s="401"/>
      <c r="AB51" s="401"/>
      <c r="AC51" s="401"/>
      <c r="AD51" s="401"/>
      <c r="AE51" s="303" t="s">
        <v>144</v>
      </c>
      <c r="AF51" s="37"/>
      <c r="AG51" s="37"/>
      <c r="AH51" s="37" t="s">
        <v>145</v>
      </c>
      <c r="AI51" s="37"/>
      <c r="AJ51" s="83"/>
      <c r="AM51" s="20"/>
      <c r="AT51" s="21"/>
      <c r="AV51" s="21"/>
    </row>
    <row r="52" spans="2:51" ht="26" x14ac:dyDescent="0.3">
      <c r="C52" s="82"/>
      <c r="D52" s="99"/>
      <c r="E52" s="37"/>
      <c r="F52" s="37"/>
      <c r="G52" s="37"/>
      <c r="H52" s="37"/>
      <c r="I52" s="37"/>
      <c r="J52" s="37"/>
      <c r="K52" s="37" t="s">
        <v>180</v>
      </c>
      <c r="L52" s="40" t="str">
        <f>IF(ISNUMBER(L53),"Post 2025 discharge","")</f>
        <v>Post 2025 discharge</v>
      </c>
      <c r="M52" s="40" t="s">
        <v>181</v>
      </c>
      <c r="N52" s="37"/>
      <c r="O52" s="303"/>
      <c r="P52" s="37"/>
      <c r="Q52" s="37"/>
      <c r="R52" s="37"/>
      <c r="S52" s="96"/>
      <c r="T52" s="37"/>
      <c r="U52" s="37"/>
      <c r="V52" s="37"/>
      <c r="W52" s="37"/>
      <c r="X52" s="37"/>
      <c r="Y52" s="37"/>
      <c r="Z52" s="37"/>
      <c r="AA52" s="37"/>
      <c r="AB52" s="37"/>
      <c r="AC52" s="37"/>
      <c r="AD52" s="37"/>
      <c r="AE52" s="37"/>
      <c r="AF52" s="37"/>
      <c r="AG52" s="37"/>
      <c r="AH52" s="37"/>
      <c r="AI52" s="37"/>
      <c r="AJ52" s="83"/>
      <c r="AM52" s="30"/>
      <c r="AT52" s="21"/>
      <c r="AV52" s="21"/>
    </row>
    <row r="53" spans="2:51" ht="13" x14ac:dyDescent="0.3">
      <c r="B53" s="17"/>
      <c r="C53" s="82"/>
      <c r="D53" s="400" t="s">
        <v>189</v>
      </c>
      <c r="E53" s="400"/>
      <c r="F53" s="400"/>
      <c r="G53" s="37"/>
      <c r="H53" s="37"/>
      <c r="I53" s="37"/>
      <c r="J53" s="37"/>
      <c r="K53" s="102">
        <f>IF(O34="Yes",((K46*W29)/1000000)*365.25,0)</f>
        <v>0</v>
      </c>
      <c r="L53" s="141">
        <f>IF(ISNUMBER(L46),IF(O34="Yes",((L46*W29)/1000000)*365.25,0),"")</f>
        <v>0</v>
      </c>
      <c r="M53" s="263">
        <f>IF(O34="Yes",((M46*W29)/1000000)*365.25,0)</f>
        <v>0</v>
      </c>
      <c r="N53" s="37"/>
      <c r="O53" s="299" t="s">
        <v>190</v>
      </c>
      <c r="P53" s="37"/>
      <c r="Q53" s="37"/>
      <c r="R53" s="37"/>
      <c r="S53" s="96"/>
      <c r="T53" s="37"/>
      <c r="U53" s="400" t="s">
        <v>191</v>
      </c>
      <c r="V53" s="400"/>
      <c r="W53" s="400"/>
      <c r="X53" s="400"/>
      <c r="Y53" s="400"/>
      <c r="Z53" s="400"/>
      <c r="AA53" s="400"/>
      <c r="AB53" s="400"/>
      <c r="AC53" s="37"/>
      <c r="AD53" s="37"/>
      <c r="AE53" s="102">
        <f>IF(AE34="Yes",(((AF46*W29)/1000000)*365.25),0)</f>
        <v>0</v>
      </c>
      <c r="AF53" s="115"/>
      <c r="AG53" s="37"/>
      <c r="AH53" s="86" t="s">
        <v>192</v>
      </c>
      <c r="AI53" s="37"/>
      <c r="AJ53" s="83"/>
      <c r="AM53" s="23"/>
      <c r="AT53" s="15"/>
      <c r="AV53" s="29"/>
    </row>
    <row r="54" spans="2:51" ht="17.149999999999999" customHeight="1" x14ac:dyDescent="0.3">
      <c r="B54" s="17"/>
      <c r="C54" s="75"/>
      <c r="D54" s="37"/>
      <c r="E54" s="37"/>
      <c r="F54" s="37"/>
      <c r="G54" s="37"/>
      <c r="H54" s="37"/>
      <c r="I54" s="37"/>
      <c r="J54" s="37"/>
      <c r="K54" s="37"/>
      <c r="L54" s="37"/>
      <c r="M54" s="37"/>
      <c r="N54" s="37"/>
      <c r="O54" s="86"/>
      <c r="P54" s="37"/>
      <c r="Q54" s="37"/>
      <c r="R54" s="37"/>
      <c r="S54" s="96"/>
      <c r="T54" s="37"/>
      <c r="U54" s="37"/>
      <c r="V54" s="37"/>
      <c r="W54" s="37"/>
      <c r="X54" s="37"/>
      <c r="Y54" s="37"/>
      <c r="Z54" s="37"/>
      <c r="AA54" s="37"/>
      <c r="AB54" s="37"/>
      <c r="AC54" s="37"/>
      <c r="AD54" s="37"/>
      <c r="AE54" s="37"/>
      <c r="AF54" s="37"/>
      <c r="AG54" s="37"/>
      <c r="AH54" s="37"/>
      <c r="AI54" s="37"/>
      <c r="AJ54" s="83"/>
      <c r="AV54" s="22"/>
    </row>
    <row r="55" spans="2:51" ht="13.5" thickBot="1" x14ac:dyDescent="0.35">
      <c r="B55" s="17"/>
      <c r="C55" s="104"/>
      <c r="D55" s="105"/>
      <c r="E55" s="105"/>
      <c r="F55" s="105"/>
      <c r="G55" s="105"/>
      <c r="H55" s="75"/>
      <c r="I55" s="75"/>
      <c r="J55" s="75"/>
      <c r="K55" s="75"/>
      <c r="L55" s="75"/>
      <c r="M55" s="75"/>
      <c r="N55" s="75"/>
      <c r="O55" s="75"/>
      <c r="P55" s="75"/>
      <c r="Q55" s="75"/>
      <c r="R55" s="75"/>
      <c r="S55" s="75"/>
      <c r="T55" s="75"/>
      <c r="U55" s="75"/>
      <c r="V55" s="75"/>
      <c r="W55" s="75"/>
      <c r="X55" s="75"/>
      <c r="Y55" s="75"/>
      <c r="Z55" s="75"/>
      <c r="AA55" s="75"/>
      <c r="AB55" s="105"/>
      <c r="AC55" s="105"/>
      <c r="AD55" s="105"/>
      <c r="AE55" s="105"/>
      <c r="AF55" s="105"/>
      <c r="AG55" s="105"/>
      <c r="AH55" s="105"/>
      <c r="AI55" s="105"/>
      <c r="AJ55" s="106"/>
    </row>
    <row r="56" spans="2:51" ht="13" x14ac:dyDescent="0.3">
      <c r="C56" s="78"/>
      <c r="D56" s="78"/>
      <c r="E56" s="78"/>
      <c r="F56" s="78"/>
      <c r="G56" s="153"/>
      <c r="H56" s="82"/>
      <c r="I56" s="107"/>
      <c r="J56" s="107"/>
      <c r="K56" s="107"/>
      <c r="L56" s="107"/>
      <c r="M56" s="107"/>
      <c r="N56" s="107"/>
      <c r="O56" s="107"/>
      <c r="P56" s="107"/>
      <c r="Q56" s="107"/>
      <c r="R56" s="107"/>
      <c r="S56" s="107"/>
      <c r="T56" s="107"/>
      <c r="U56" s="107"/>
      <c r="V56" s="107"/>
      <c r="W56" s="107"/>
      <c r="X56" s="107"/>
      <c r="Y56" s="107"/>
      <c r="Z56" s="75"/>
      <c r="AA56" s="83"/>
      <c r="AB56" s="78"/>
      <c r="AC56" s="78"/>
      <c r="AD56" s="78"/>
      <c r="AE56" s="78"/>
      <c r="AF56" s="78"/>
      <c r="AG56" s="78"/>
      <c r="AH56" s="78"/>
      <c r="AI56" s="78"/>
      <c r="AJ56" s="78"/>
    </row>
    <row r="57" spans="2:51" ht="15.5" x14ac:dyDescent="0.3">
      <c r="C57" s="78"/>
      <c r="D57" s="78"/>
      <c r="E57" s="78"/>
      <c r="F57" s="78"/>
      <c r="G57" s="78"/>
      <c r="H57" s="82"/>
      <c r="I57" s="75"/>
      <c r="J57" s="85" t="s">
        <v>193</v>
      </c>
      <c r="K57" s="401" t="s">
        <v>194</v>
      </c>
      <c r="L57" s="401"/>
      <c r="M57" s="401"/>
      <c r="N57" s="401"/>
      <c r="O57" s="401"/>
      <c r="P57" s="99"/>
      <c r="Q57" s="99"/>
      <c r="R57" s="99"/>
      <c r="S57" s="99"/>
      <c r="T57" s="99"/>
      <c r="U57" s="99"/>
      <c r="V57" s="303" t="s">
        <v>144</v>
      </c>
      <c r="W57" s="37" t="str">
        <f>IF(ISNUMBER(L45),"Value","")</f>
        <v/>
      </c>
      <c r="X57" s="37"/>
      <c r="Y57" s="303" t="s">
        <v>145</v>
      </c>
      <c r="Z57" s="75"/>
      <c r="AA57" s="83"/>
      <c r="AB57" s="78"/>
      <c r="AC57" s="78"/>
      <c r="AD57" s="78"/>
      <c r="AE57" s="78"/>
      <c r="AF57" s="78"/>
      <c r="AG57" s="78"/>
      <c r="AH57" s="78"/>
      <c r="AI57" s="78"/>
      <c r="AJ57" s="78"/>
    </row>
    <row r="58" spans="2:51" ht="13" x14ac:dyDescent="0.3">
      <c r="C58" s="78"/>
      <c r="D58" s="78"/>
      <c r="E58" s="78"/>
      <c r="F58" s="78"/>
      <c r="G58" s="78"/>
      <c r="H58" s="82"/>
      <c r="I58" s="75"/>
      <c r="J58" s="37"/>
      <c r="K58" s="37"/>
      <c r="L58" s="37"/>
      <c r="M58" s="37"/>
      <c r="N58" s="37"/>
      <c r="O58" s="37"/>
      <c r="P58" s="37"/>
      <c r="Q58" s="37"/>
      <c r="R58" s="37"/>
      <c r="S58" s="37"/>
      <c r="T58" s="37"/>
      <c r="U58" s="37"/>
      <c r="V58" s="37" t="s">
        <v>195</v>
      </c>
      <c r="W58" s="37" t="str">
        <f>IF(ISNUMBER(L46),"Post 2025","")</f>
        <v>Post 2025</v>
      </c>
      <c r="X58" s="37" t="s">
        <v>196</v>
      </c>
      <c r="Y58" s="37"/>
      <c r="Z58" s="75"/>
      <c r="AA58" s="83"/>
      <c r="AB58" s="78"/>
      <c r="AC58" s="78"/>
      <c r="AD58" s="78"/>
      <c r="AE58" s="78"/>
      <c r="AF58" s="78"/>
      <c r="AG58" s="78"/>
      <c r="AH58" s="78"/>
      <c r="AI58" s="78"/>
      <c r="AJ58" s="78"/>
    </row>
    <row r="59" spans="2:51" ht="13" x14ac:dyDescent="0.3">
      <c r="C59" s="78"/>
      <c r="D59" s="78"/>
      <c r="E59" s="78"/>
      <c r="F59" s="78"/>
      <c r="G59" s="78"/>
      <c r="H59" s="82"/>
      <c r="I59" s="75"/>
      <c r="J59" s="37"/>
      <c r="K59" s="402" t="s">
        <v>197</v>
      </c>
      <c r="L59" s="402"/>
      <c r="M59" s="402"/>
      <c r="N59" s="402"/>
      <c r="O59" s="402"/>
      <c r="P59" s="402"/>
      <c r="Q59" s="38"/>
      <c r="R59" s="38"/>
      <c r="S59" s="38"/>
      <c r="T59" s="38"/>
      <c r="U59" s="38"/>
      <c r="V59" s="100">
        <f>(K53+AE53)</f>
        <v>0</v>
      </c>
      <c r="W59" s="115">
        <f>IF(ISNUMBER(L46),L53+AE53,"")</f>
        <v>0</v>
      </c>
      <c r="X59" s="264">
        <f>(M53+AE53)</f>
        <v>0</v>
      </c>
      <c r="Y59" s="90" t="s">
        <v>192</v>
      </c>
      <c r="Z59" s="75"/>
      <c r="AA59" s="83"/>
      <c r="AB59" s="78"/>
      <c r="AC59" s="78"/>
      <c r="AD59" s="78"/>
      <c r="AE59" s="78"/>
      <c r="AF59" s="78"/>
      <c r="AG59" s="78"/>
      <c r="AH59" s="78"/>
      <c r="AI59" s="78"/>
      <c r="AJ59" s="78"/>
    </row>
    <row r="60" spans="2:51" ht="13.5" thickBot="1" x14ac:dyDescent="0.35">
      <c r="C60" s="78"/>
      <c r="D60" s="78"/>
      <c r="E60" s="78"/>
      <c r="F60" s="78"/>
      <c r="G60" s="78"/>
      <c r="H60" s="104"/>
      <c r="I60" s="105"/>
      <c r="J60" s="105"/>
      <c r="K60" s="105"/>
      <c r="L60" s="105"/>
      <c r="M60" s="105"/>
      <c r="N60" s="105"/>
      <c r="O60" s="105"/>
      <c r="P60" s="105"/>
      <c r="Q60" s="105"/>
      <c r="R60" s="105"/>
      <c r="S60" s="105"/>
      <c r="T60" s="105"/>
      <c r="U60" s="105"/>
      <c r="V60" s="105"/>
      <c r="W60" s="105"/>
      <c r="X60" s="105"/>
      <c r="Y60" s="105"/>
      <c r="Z60" s="105"/>
      <c r="AA60" s="106"/>
      <c r="AB60" s="78"/>
      <c r="AC60" s="78"/>
      <c r="AD60" s="78"/>
      <c r="AE60" s="78"/>
      <c r="AF60" s="78"/>
      <c r="AG60" s="78"/>
      <c r="AH60" s="78"/>
      <c r="AI60" s="78"/>
      <c r="AJ60" s="78"/>
    </row>
  </sheetData>
  <sheetProtection algorithmName="SHA-512" hashValue="0dLWMoSSiw+vJbrpsqflDNFY4IAA+mi1JxTUNbOF+YeZ/pVlQDUKMoB2+klX7xD/mQu5yKkORPiwCg8zOwqLHg==" saltValue="ia4adooiIawetHqVURubrg==" spinCount="100000" sheet="1" objects="1" scenarios="1" selectLockedCells="1"/>
  <mergeCells count="41">
    <mergeCell ref="U53:AB53"/>
    <mergeCell ref="AM48:AY48"/>
    <mergeCell ref="K3:Y3"/>
    <mergeCell ref="I4:Y6"/>
    <mergeCell ref="I30:Y30"/>
    <mergeCell ref="I3:J3"/>
    <mergeCell ref="I32:Y32"/>
    <mergeCell ref="K8:V8"/>
    <mergeCell ref="K15:V15"/>
    <mergeCell ref="K17:V17"/>
    <mergeCell ref="K18:V18"/>
    <mergeCell ref="K12:O12"/>
    <mergeCell ref="K19:V19"/>
    <mergeCell ref="K20:V20"/>
    <mergeCell ref="D37:R39"/>
    <mergeCell ref="D48:R48"/>
    <mergeCell ref="U48:AI48"/>
    <mergeCell ref="K22:V22"/>
    <mergeCell ref="W34:AD34"/>
    <mergeCell ref="E34:K35"/>
    <mergeCell ref="K29:S29"/>
    <mergeCell ref="Y27:Z27"/>
    <mergeCell ref="V36:AI36"/>
    <mergeCell ref="E36:R36"/>
    <mergeCell ref="U46:Y46"/>
    <mergeCell ref="D53:F53"/>
    <mergeCell ref="K57:O57"/>
    <mergeCell ref="K59:P59"/>
    <mergeCell ref="K11:V11"/>
    <mergeCell ref="D51:J51"/>
    <mergeCell ref="U42:AD42"/>
    <mergeCell ref="U44:AC44"/>
    <mergeCell ref="D46:F46"/>
    <mergeCell ref="U45:AB45"/>
    <mergeCell ref="U51:AD51"/>
    <mergeCell ref="D42:J42"/>
    <mergeCell ref="D44:J44"/>
    <mergeCell ref="K25:O25"/>
    <mergeCell ref="K27:O27"/>
    <mergeCell ref="K14:V14"/>
    <mergeCell ref="U37:AI39"/>
  </mergeCells>
  <conditionalFormatting sqref="L46">
    <cfRule type="expression" dxfId="92" priority="3">
      <formula>AND($L$46&lt;K46)</formula>
    </cfRule>
  </conditionalFormatting>
  <conditionalFormatting sqref="L53">
    <cfRule type="expression" dxfId="91" priority="2">
      <formula>AND($L$46&lt;K46)</formula>
    </cfRule>
  </conditionalFormatting>
  <conditionalFormatting sqref="W59">
    <cfRule type="expression" dxfId="90" priority="1">
      <formula>AND($L$46&lt;K46)</formula>
    </cfRule>
  </conditionalFormatting>
  <dataValidations count="3">
    <dataValidation type="list" allowBlank="1" showInputMessage="1" showErrorMessage="1" sqref="O34 AE34" xr:uid="{0E5A7B37-1AF1-47CC-AA54-9FF5CAEB322F}">
      <formula1>"Yes, No"</formula1>
    </dataValidation>
    <dataValidation type="list" allowBlank="1" showInputMessage="1" showErrorMessage="1" sqref="AE44" xr:uid="{8F47862D-8150-4E03-A11F-32470ADB32A1}">
      <formula1>OsTWs</formula1>
    </dataValidation>
    <dataValidation type="list" allowBlank="1" showInputMessage="1" showErrorMessage="1" sqref="K44" xr:uid="{D84515DF-42A4-48FC-AB74-5D56FE1590AB}">
      <formula1>"Boxford, Chieveley, East Shefford, Fawley, Wickham, Winterbourne"</formula1>
    </dataValidation>
  </dataValidations>
  <pageMargins left="0.70866141732283472" right="0.70866141732283472" top="0.74803149606299213" bottom="0.74803149606299213" header="0.31496062992125984" footer="0.31496062992125984"/>
  <pageSetup paperSize="9" scale="52" orientation="landscape" horizontalDpi="360" verticalDpi="360" r:id="rId1"/>
  <headerFooter>
    <oddHeader>&amp;LPhosphate Budget Calculator&amp;CStage 1&amp;R&amp;"Calibri"&amp;10&amp;KFF8C00Information Classification: CONTROLLED&amp;1#</oddHeader>
    <oddFooter>&amp;LVersion 1.0&amp;R&amp;D</oddFooter>
  </headerFooter>
  <customProperties>
    <customPr name="SSC_SHEET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EF00-914D-4ADC-8F23-A385C2D4A9E5}">
  <sheetPr>
    <tabColor theme="9" tint="0.79998168889431442"/>
    <pageSetUpPr fitToPage="1"/>
  </sheetPr>
  <dimension ref="B1:BA44"/>
  <sheetViews>
    <sheetView topLeftCell="A16" zoomScaleNormal="100" workbookViewId="0">
      <selection activeCell="K18" sqref="K18"/>
    </sheetView>
  </sheetViews>
  <sheetFormatPr defaultRowHeight="12.5" x14ac:dyDescent="0.25"/>
  <cols>
    <col min="2" max="3" width="0.81640625" customWidth="1"/>
    <col min="4" max="4" width="2.26953125" customWidth="1"/>
    <col min="9" max="9" width="12.26953125" customWidth="1"/>
    <col min="10" max="10" width="8.453125" customWidth="1"/>
    <col min="11" max="11" width="19.54296875" customWidth="1"/>
    <col min="12" max="12" width="10.453125" customWidth="1"/>
    <col min="13" max="13" width="3" customWidth="1"/>
    <col min="14" max="14" width="1.81640625" customWidth="1"/>
    <col min="15" max="15" width="8.453125" customWidth="1"/>
    <col min="16" max="16" width="1.7265625" customWidth="1"/>
    <col min="17" max="17" width="6.1796875" customWidth="1"/>
    <col min="18" max="18" width="0.81640625" customWidth="1"/>
    <col min="20" max="20" width="16.81640625" customWidth="1"/>
    <col min="21" max="21" width="12.54296875" customWidth="1"/>
    <col min="26" max="26" width="11.1796875" customWidth="1"/>
    <col min="27" max="27" width="12.1796875" customWidth="1"/>
  </cols>
  <sheetData>
    <row r="1" spans="2:19" ht="13" thickBot="1" x14ac:dyDescent="0.3"/>
    <row r="2" spans="2:19" ht="3.65" customHeight="1" x14ac:dyDescent="0.25">
      <c r="B2" s="1"/>
      <c r="C2" s="2"/>
      <c r="D2" s="2"/>
      <c r="E2" s="2"/>
      <c r="F2" s="2"/>
      <c r="G2" s="2"/>
      <c r="H2" s="2"/>
      <c r="I2" s="2"/>
      <c r="J2" s="2"/>
      <c r="K2" s="2"/>
      <c r="L2" s="2"/>
      <c r="M2" s="2"/>
      <c r="N2" s="2"/>
      <c r="O2" s="2"/>
      <c r="P2" s="2"/>
      <c r="Q2" s="2"/>
      <c r="R2" s="3"/>
    </row>
    <row r="3" spans="2:19" ht="28.5" customHeight="1" x14ac:dyDescent="0.3">
      <c r="B3" s="4"/>
      <c r="C3" s="39"/>
      <c r="D3" s="108"/>
      <c r="E3" s="285" t="s">
        <v>19</v>
      </c>
      <c r="F3" s="411" t="s">
        <v>198</v>
      </c>
      <c r="G3" s="411"/>
      <c r="H3" s="411"/>
      <c r="I3" s="411"/>
      <c r="J3" s="411"/>
      <c r="K3" s="411"/>
      <c r="L3" s="411"/>
      <c r="M3" s="411"/>
      <c r="N3" s="291"/>
      <c r="O3" s="291"/>
      <c r="P3" s="291"/>
      <c r="Q3" s="291"/>
      <c r="R3" s="6"/>
    </row>
    <row r="4" spans="2:19" ht="1.5" customHeight="1" x14ac:dyDescent="0.3">
      <c r="B4" s="4"/>
      <c r="C4" s="109"/>
      <c r="D4" s="109"/>
      <c r="E4" s="405" t="s">
        <v>199</v>
      </c>
      <c r="F4" s="405"/>
      <c r="G4" s="405"/>
      <c r="H4" s="405"/>
      <c r="I4" s="405"/>
      <c r="J4" s="405"/>
      <c r="K4" s="405"/>
      <c r="L4" s="405"/>
      <c r="M4" s="405"/>
      <c r="N4" s="405"/>
      <c r="O4" s="405"/>
      <c r="P4" s="405"/>
      <c r="Q4" s="405"/>
      <c r="R4" s="6"/>
    </row>
    <row r="5" spans="2:19" ht="13" x14ac:dyDescent="0.3">
      <c r="B5" s="4"/>
      <c r="C5" s="109"/>
      <c r="D5" s="109"/>
      <c r="E5" s="405"/>
      <c r="F5" s="405"/>
      <c r="G5" s="405"/>
      <c r="H5" s="405"/>
      <c r="I5" s="405"/>
      <c r="J5" s="405"/>
      <c r="K5" s="405"/>
      <c r="L5" s="405"/>
      <c r="M5" s="405"/>
      <c r="N5" s="405"/>
      <c r="O5" s="405"/>
      <c r="P5" s="405"/>
      <c r="Q5" s="405"/>
      <c r="R5" s="6"/>
    </row>
    <row r="6" spans="2:19" ht="23.5" customHeight="1" x14ac:dyDescent="0.3">
      <c r="B6" s="4"/>
      <c r="C6" s="75"/>
      <c r="D6" s="75"/>
      <c r="E6" s="412"/>
      <c r="F6" s="412"/>
      <c r="G6" s="412"/>
      <c r="H6" s="412"/>
      <c r="I6" s="412"/>
      <c r="J6" s="412"/>
      <c r="K6" s="412"/>
      <c r="L6" s="412"/>
      <c r="M6" s="412"/>
      <c r="N6" s="412"/>
      <c r="O6" s="412"/>
      <c r="P6" s="412"/>
      <c r="Q6" s="412"/>
      <c r="R6" s="6"/>
    </row>
    <row r="7" spans="2:19" ht="4" customHeight="1" x14ac:dyDescent="0.3">
      <c r="B7" s="4"/>
      <c r="C7" s="75"/>
      <c r="D7" s="107"/>
      <c r="E7" s="110"/>
      <c r="F7" s="110"/>
      <c r="G7" s="110"/>
      <c r="H7" s="110"/>
      <c r="I7" s="110"/>
      <c r="J7" s="110"/>
      <c r="K7" s="110"/>
      <c r="L7" s="110"/>
      <c r="M7" s="110"/>
      <c r="N7" s="292"/>
      <c r="O7" s="292"/>
      <c r="P7" s="292"/>
      <c r="Q7" s="292"/>
      <c r="R7" s="6"/>
    </row>
    <row r="8" spans="2:19" ht="15.5" x14ac:dyDescent="0.3">
      <c r="B8" s="4"/>
      <c r="C8" s="75"/>
      <c r="D8" s="75"/>
      <c r="E8" s="295">
        <v>1</v>
      </c>
      <c r="F8" s="401" t="s">
        <v>200</v>
      </c>
      <c r="G8" s="401"/>
      <c r="H8" s="401"/>
      <c r="I8" s="401"/>
      <c r="J8" s="401"/>
      <c r="K8" s="303" t="s">
        <v>144</v>
      </c>
      <c r="L8" s="303" t="s">
        <v>145</v>
      </c>
      <c r="M8" s="37"/>
      <c r="N8" s="37"/>
      <c r="O8" s="37"/>
      <c r="P8" s="37"/>
      <c r="Q8" s="37"/>
      <c r="R8" s="6"/>
    </row>
    <row r="9" spans="2:19" ht="9.65" customHeight="1" x14ac:dyDescent="0.3">
      <c r="B9" s="4"/>
      <c r="C9" s="75"/>
      <c r="D9" s="75"/>
      <c r="E9" s="85"/>
      <c r="F9" s="295"/>
      <c r="G9" s="295"/>
      <c r="H9" s="295"/>
      <c r="I9" s="295"/>
      <c r="J9" s="295"/>
      <c r="K9" s="303"/>
      <c r="L9" s="303"/>
      <c r="M9" s="37"/>
      <c r="N9" s="37"/>
      <c r="O9" s="37"/>
      <c r="P9" s="37"/>
      <c r="Q9" s="37"/>
      <c r="R9" s="6"/>
    </row>
    <row r="10" spans="2:19" ht="15.5" x14ac:dyDescent="0.3">
      <c r="B10" s="4"/>
      <c r="C10" s="75"/>
      <c r="D10" s="75"/>
      <c r="E10" s="85"/>
      <c r="F10" s="400" t="s">
        <v>201</v>
      </c>
      <c r="G10" s="400"/>
      <c r="H10" s="400"/>
      <c r="I10" s="400"/>
      <c r="J10" s="400"/>
      <c r="K10" s="160" t="s">
        <v>341</v>
      </c>
      <c r="L10" s="303"/>
      <c r="M10" s="37"/>
      <c r="N10" s="37"/>
      <c r="O10" s="37"/>
      <c r="P10" s="37"/>
      <c r="Q10" s="37"/>
      <c r="R10" s="6"/>
    </row>
    <row r="11" spans="2:19" ht="15.5" x14ac:dyDescent="0.3">
      <c r="B11" s="4"/>
      <c r="C11" s="75"/>
      <c r="D11" s="75"/>
      <c r="E11" s="85"/>
      <c r="F11" s="400" t="s">
        <v>202</v>
      </c>
      <c r="G11" s="400"/>
      <c r="H11" s="400"/>
      <c r="I11" s="400"/>
      <c r="J11" s="400"/>
      <c r="K11" s="306" t="s">
        <v>293</v>
      </c>
      <c r="L11" s="303" t="s">
        <v>204</v>
      </c>
      <c r="M11" s="37"/>
      <c r="N11" s="37"/>
      <c r="O11" s="37"/>
      <c r="P11" s="37"/>
      <c r="Q11" s="37"/>
      <c r="R11" s="6"/>
    </row>
    <row r="12" spans="2:19" ht="15.5" x14ac:dyDescent="0.3">
      <c r="B12" s="4"/>
      <c r="C12" s="75"/>
      <c r="D12" s="75"/>
      <c r="E12" s="85"/>
      <c r="F12" s="400" t="s">
        <v>205</v>
      </c>
      <c r="G12" s="400"/>
      <c r="H12" s="400"/>
      <c r="I12" s="400"/>
      <c r="J12" s="400"/>
      <c r="K12" s="306" t="s">
        <v>166</v>
      </c>
      <c r="L12" s="322"/>
      <c r="M12" s="37"/>
      <c r="N12" s="37"/>
      <c r="O12" s="37"/>
      <c r="P12" s="37"/>
      <c r="Q12" s="37"/>
      <c r="R12" s="6"/>
    </row>
    <row r="13" spans="2:19" ht="14.15" customHeight="1" x14ac:dyDescent="0.3">
      <c r="B13" s="4"/>
      <c r="C13" s="75"/>
      <c r="D13" s="75"/>
      <c r="E13" s="85"/>
      <c r="F13" s="99"/>
      <c r="G13" s="37"/>
      <c r="H13" s="37"/>
      <c r="I13" s="37"/>
      <c r="J13" s="37"/>
      <c r="K13" s="303"/>
      <c r="L13" s="303"/>
      <c r="M13" s="37"/>
      <c r="N13" s="37"/>
      <c r="O13" s="37"/>
      <c r="P13" s="37"/>
      <c r="Q13" s="37"/>
      <c r="R13" s="6"/>
    </row>
    <row r="14" spans="2:19" ht="23.25" customHeight="1" x14ac:dyDescent="0.3">
      <c r="B14" s="4"/>
      <c r="C14" s="75"/>
      <c r="D14" s="75"/>
      <c r="E14" s="419" t="s">
        <v>207</v>
      </c>
      <c r="F14" s="419"/>
      <c r="G14" s="419"/>
      <c r="H14" s="419"/>
      <c r="I14" s="419"/>
      <c r="J14" s="419"/>
      <c r="K14" s="419"/>
      <c r="L14" s="419"/>
      <c r="M14" s="419"/>
      <c r="N14" s="419"/>
      <c r="O14" s="419"/>
      <c r="P14" s="419"/>
      <c r="Q14" s="419"/>
      <c r="R14" s="6"/>
    </row>
    <row r="15" spans="2:19" ht="18" customHeight="1" x14ac:dyDescent="0.3">
      <c r="B15" s="4"/>
      <c r="C15" s="75"/>
      <c r="D15" s="75"/>
      <c r="E15" s="419" t="s">
        <v>208</v>
      </c>
      <c r="F15" s="419"/>
      <c r="G15" s="419"/>
      <c r="H15" s="419"/>
      <c r="I15" s="419"/>
      <c r="J15" s="419"/>
      <c r="K15" s="317"/>
      <c r="L15" s="317"/>
      <c r="M15" s="317"/>
      <c r="N15" s="317"/>
      <c r="O15" s="317"/>
      <c r="P15" s="317"/>
      <c r="Q15" s="317"/>
      <c r="R15" s="6"/>
    </row>
    <row r="16" spans="2:19" ht="26.15" customHeight="1" x14ac:dyDescent="0.3">
      <c r="B16" s="4"/>
      <c r="C16" s="75"/>
      <c r="D16" s="75"/>
      <c r="E16" s="420" t="s">
        <v>209</v>
      </c>
      <c r="F16" s="420"/>
      <c r="G16" s="420"/>
      <c r="H16" s="420"/>
      <c r="I16" s="420"/>
      <c r="J16" s="420"/>
      <c r="K16" s="420"/>
      <c r="L16" s="420"/>
      <c r="M16" s="420"/>
      <c r="N16" s="420"/>
      <c r="O16" s="420"/>
      <c r="P16" s="420"/>
      <c r="Q16" s="420"/>
      <c r="R16" s="323"/>
      <c r="S16" s="321"/>
    </row>
    <row r="17" spans="2:53" ht="26.5" customHeight="1" x14ac:dyDescent="0.3">
      <c r="B17" s="4"/>
      <c r="C17" s="75"/>
      <c r="D17" s="75"/>
      <c r="E17" s="295">
        <v>2</v>
      </c>
      <c r="F17" s="99" t="s">
        <v>210</v>
      </c>
      <c r="G17" s="37"/>
      <c r="H17" s="37"/>
      <c r="I17" s="37"/>
      <c r="J17" s="37"/>
      <c r="K17" s="303"/>
      <c r="L17" s="303"/>
      <c r="M17" s="37"/>
      <c r="N17" s="37"/>
      <c r="O17" s="305" t="s">
        <v>211</v>
      </c>
      <c r="P17" s="305"/>
      <c r="Q17" s="37"/>
      <c r="R17" s="6"/>
    </row>
    <row r="18" spans="2:53" ht="14.5" customHeight="1" x14ac:dyDescent="0.35">
      <c r="B18" s="4"/>
      <c r="C18" s="75"/>
      <c r="D18" s="75"/>
      <c r="E18" s="37"/>
      <c r="F18" s="400" t="str">
        <f>'Data Tables'!AE3</f>
        <v>High density urban</v>
      </c>
      <c r="G18" s="400"/>
      <c r="H18" s="400"/>
      <c r="I18" s="400"/>
      <c r="J18" s="400"/>
      <c r="K18" s="168"/>
      <c r="L18" s="86" t="s">
        <v>212</v>
      </c>
      <c r="M18" s="37"/>
      <c r="N18" s="37"/>
      <c r="O18" s="187">
        <f>$K18*IF($K$11="600-625",'Data Tables'!AE4,IF($K$11="625-650",'Data Tables'!AE5,IF($K$11="650-675",'Data Tables'!AE6,IF($K$11="675-700",'Data Tables'!AE7,IF($K$11="700-750",'Data Tables'!AE8,IF($K$11="750-800",'Data Tables'!AE9,IF($K$11="800-850",'Data Tables'!AE10,'Data Tables'!AE11)))))))</f>
        <v>0</v>
      </c>
      <c r="P18" s="173"/>
      <c r="Q18" s="324" t="s">
        <v>213</v>
      </c>
      <c r="R18" s="6"/>
      <c r="Y18" s="319"/>
      <c r="Z18" s="319"/>
      <c r="AA18" s="417"/>
      <c r="AB18" s="417"/>
      <c r="AC18" s="417"/>
      <c r="AD18" s="417"/>
      <c r="AE18" s="417"/>
      <c r="AF18" s="417"/>
    </row>
    <row r="19" spans="2:53" ht="14.5" customHeight="1" x14ac:dyDescent="0.35">
      <c r="B19" s="4"/>
      <c r="C19" s="75"/>
      <c r="D19" s="75"/>
      <c r="E19" s="37"/>
      <c r="F19" s="400" t="str">
        <f>'Data Tables'!AF3</f>
        <v>Medium density urban</v>
      </c>
      <c r="G19" s="400"/>
      <c r="H19" s="400"/>
      <c r="I19" s="400"/>
      <c r="J19" s="400"/>
      <c r="K19" s="168"/>
      <c r="L19" s="86" t="s">
        <v>212</v>
      </c>
      <c r="M19" s="37"/>
      <c r="N19" s="37"/>
      <c r="O19" s="187">
        <f>$K$19*IF($K$11="600-625",'Data Tables'!AF4,IF($K$11="625-650",'Data Tables'!AF5,IF($K$11="650-675",'Data Tables'!AF6,IF($K$11="675-700",'Data Tables'!AF7,IF($K$11="700-750",'Data Tables'!AF8,IF($K$11="750-800",'Data Tables'!AF9,IF($K$11="800-850",'Data Tables'!AF10,'Data Tables'!AF11)))))))</f>
        <v>0</v>
      </c>
      <c r="P19" s="173"/>
      <c r="Q19" s="324" t="s">
        <v>213</v>
      </c>
      <c r="R19" s="6"/>
      <c r="U19" s="169"/>
      <c r="V19" s="169"/>
      <c r="W19" s="169"/>
      <c r="X19" s="169"/>
      <c r="Y19" s="169"/>
      <c r="Z19" s="169"/>
      <c r="AA19" s="418"/>
      <c r="AB19" s="418"/>
      <c r="AC19" s="418"/>
      <c r="AD19" s="418"/>
      <c r="AE19" s="418"/>
      <c r="AF19" s="418"/>
    </row>
    <row r="20" spans="2:53" ht="14.5" customHeight="1" x14ac:dyDescent="0.3">
      <c r="B20" s="4"/>
      <c r="C20" s="75"/>
      <c r="D20" s="75"/>
      <c r="E20" s="37"/>
      <c r="F20" s="400" t="str">
        <f>'Data Tables'!AG3</f>
        <v>Low density urban</v>
      </c>
      <c r="G20" s="400"/>
      <c r="H20" s="400"/>
      <c r="I20" s="400"/>
      <c r="J20" s="400"/>
      <c r="K20" s="168"/>
      <c r="L20" s="86" t="s">
        <v>212</v>
      </c>
      <c r="M20" s="37"/>
      <c r="N20" s="37"/>
      <c r="O20" s="187">
        <f>$K$20*IF($K$11="600-625",'Data Tables'!AG4,IF($K$11="625-650",'Data Tables'!AG5,IF($K$11="650-675",'Data Tables'!AG6,IF($K$11="675-700",'Data Tables'!AG7,IF($K$11="700-750",'Data Tables'!AG8,IF($K$11="750-800",'Data Tables'!AG9,IF($K$11="800-850",'Data Tables'!AG10,'Data Tables'!AG11)))))))</f>
        <v>0</v>
      </c>
      <c r="P20" s="173"/>
      <c r="Q20" s="324" t="s">
        <v>213</v>
      </c>
      <c r="R20" s="6"/>
      <c r="U20" s="13"/>
      <c r="V20" s="13"/>
      <c r="W20" s="13"/>
      <c r="X20" s="13"/>
      <c r="Y20" s="13"/>
      <c r="Z20" s="13"/>
      <c r="AA20" s="13"/>
      <c r="AB20" s="13"/>
      <c r="AC20" s="13"/>
      <c r="AD20" s="13"/>
      <c r="AE20" s="13"/>
      <c r="AF20" s="13"/>
    </row>
    <row r="21" spans="2:53" ht="14.5" customHeight="1" x14ac:dyDescent="0.3">
      <c r="B21" s="4"/>
      <c r="C21" s="75"/>
      <c r="D21" s="75"/>
      <c r="E21" s="37"/>
      <c r="F21" s="400" t="str">
        <f>'Data Tables'!AH3</f>
        <v>Commercial / Industrial</v>
      </c>
      <c r="G21" s="400"/>
      <c r="H21" s="400"/>
      <c r="I21" s="400"/>
      <c r="J21" s="400"/>
      <c r="K21" s="168"/>
      <c r="L21" s="86" t="s">
        <v>212</v>
      </c>
      <c r="M21" s="37"/>
      <c r="N21" s="37"/>
      <c r="O21" s="187">
        <f>$K$21*IF($K$11="600-625",'Data Tables'!AH4,IF($K$11="625-650",'Data Tables'!AH5,IF($K$11="650-675",'Data Tables'!AH6,IF($K$11="675-700",'Data Tables'!AH7,IF($K$11="700-750",'Data Tables'!AH8,IF($K$11="750-800",'Data Tables'!AH9,IF($K$11="800-850",'Data Tables'!AH10,'Data Tables'!AH11)))))))</f>
        <v>0</v>
      </c>
      <c r="P21" s="173"/>
      <c r="Q21" s="324" t="s">
        <v>213</v>
      </c>
      <c r="R21" s="6"/>
      <c r="U21" s="13"/>
      <c r="V21" s="13"/>
      <c r="W21" s="13"/>
      <c r="X21" s="13"/>
      <c r="Y21" s="13"/>
      <c r="Z21" s="13"/>
      <c r="AA21" s="13"/>
      <c r="AB21" s="13"/>
      <c r="AC21" s="13"/>
      <c r="AD21" s="13"/>
      <c r="AE21" s="13"/>
      <c r="AF21" s="13"/>
    </row>
    <row r="22" spans="2:53" ht="14.5" customHeight="1" x14ac:dyDescent="0.3">
      <c r="B22" s="4"/>
      <c r="C22" s="75"/>
      <c r="D22" s="75"/>
      <c r="E22" s="37"/>
      <c r="F22" s="400" t="str">
        <f>'Data Tables'!AI3</f>
        <v>Urban open space</v>
      </c>
      <c r="G22" s="400"/>
      <c r="H22" s="400"/>
      <c r="I22" s="400"/>
      <c r="J22" s="400"/>
      <c r="K22" s="168"/>
      <c r="L22" s="86" t="s">
        <v>212</v>
      </c>
      <c r="M22" s="37"/>
      <c r="N22" s="37"/>
      <c r="O22" s="187">
        <f>$K$22*IF($K$11="600-625",'Data Tables'!AI4,IF($K$11="625-650",'Data Tables'!AI5,IF($K$11="650-675",'Data Tables'!AI6,IF($K$11="675-700",'Data Tables'!AI7,IF($K$11="700-750",'Data Tables'!AI8,IF($K$11="750-800",'Data Tables'!AI9,IF($K$11="800-850",'Data Tables'!AI10,'Data Tables'!AI11)))))))</f>
        <v>0</v>
      </c>
      <c r="P22" s="173"/>
      <c r="Q22" s="324" t="s">
        <v>213</v>
      </c>
      <c r="R22" s="6"/>
      <c r="U22" s="13"/>
      <c r="V22" s="13"/>
      <c r="W22" s="13"/>
      <c r="X22" s="13"/>
      <c r="Y22" s="13"/>
      <c r="Z22" s="13"/>
      <c r="AA22" s="13"/>
      <c r="AB22" s="13"/>
      <c r="AC22" s="13"/>
      <c r="AD22" s="13"/>
      <c r="AE22" s="13"/>
      <c r="AF22" s="13"/>
    </row>
    <row r="23" spans="2:53" ht="14.5" customHeight="1" x14ac:dyDescent="0.3">
      <c r="B23" s="4"/>
      <c r="C23" s="75"/>
      <c r="D23" s="75"/>
      <c r="E23" s="37"/>
      <c r="F23" s="400" t="s">
        <v>47</v>
      </c>
      <c r="G23" s="400"/>
      <c r="H23" s="400"/>
      <c r="I23" s="400"/>
      <c r="J23" s="400"/>
      <c r="K23" s="168"/>
      <c r="L23" s="86" t="s">
        <v>212</v>
      </c>
      <c r="M23" s="37"/>
      <c r="N23" s="37"/>
      <c r="O23" s="171">
        <f>$K23*(IF($K$10="Freely draining",IF($K$11="600-625",IF($K$12="Yes",'Data Tables'!O5,'Data Tables'!P5),IF($K$11="625-650",IF($K$12="Yes",'Data Tables'!O5,'Data Tables'!P5),IF($K$11="650-675",IF($K$12="Yes",'Data Tables'!O5,'Data Tables'!P5),IF($K$11="675-700",IF($K$12="Yes",'Data Tables'!O5,'Data Tables'!P5),IF($K$11="700-750",IF($K$12="Yes",'Data Tables'!U5,'Data Tables'!V5),IF($K$11="750-800",IF($K$12="Yes",'Data Tables'!U5,'Data Tables'!V5),IF($K$11="800-850",IF($K$12="Yes",'Data Tables'!U5,'Data Tables'!V5),IF($K$12="Yes",'Data Tables'!U5,'Data Tables'!V5)))))))),IF($K$10="Impermeable - drained for arable",IF($K$11="600-625",IF($K$12="Yes",'Data Tables'!Q5,'Data Tables'!R5),IF($K$11="625-650",IF($K$12="Yes",'Data Tables'!Q5,'Data Tables'!R5),IF($K$11="650-675",IF($K$12="Yes",'Data Tables'!Q5,'Data Tables'!R5),IF($K$11="675-700",IF($K$12="Yes",'Data Tables'!Q5,'Data Tables'!R5),IF($K$11="700-750",IF($K$12="Yes",'Data Tables'!W5,'Data Tables'!X5),IF($K$11="750-800",IF($K$12="Yes",'Data Tables'!W5,'Data Tables'!X5),IF($K$11="800-850",IF($K$12="Yes",'Data Tables'!W5,'Data Tables'!X5),IF($K$12="Yes",'Data Tables'!W5,'Data Tables'!X5)))))))),IF($K$11="600-625",IF($K$12="Yes",'Data Tables'!S5,'Data Tables'!T5),IF($K$11="625-650",IF($K$12="Yes",'Data Tables'!S5,'Data Tables'!T5),IF($K$11="650-675",IF($K$12="Yes",'Data Tables'!S5,'Data Tables'!T5),IF($K$11="675-700",IF($K$12="Yes",'Data Tables'!S5,'Data Tables'!T5),IF($K$11="700-750",IF($K$12="Yes",'Data Tables'!Y5,'Data Tables'!Z5),IF($K$11="750-800",IF($K$12="Yes",'Data Tables'!Y5,'Data Tables'!Z5),IF($K$11="800-850",IF($K$12="Yes",'Data Tables'!Y5,'Data Tables'!Z5),IF($K$12="Yes",'Data Tables'!Y5,'Data Tables'!Z5)))))))))))</f>
        <v>0</v>
      </c>
      <c r="P23" s="173"/>
      <c r="Q23" s="324" t="s">
        <v>213</v>
      </c>
      <c r="R23" s="6"/>
      <c r="U23" s="198"/>
      <c r="V23" s="198"/>
      <c r="W23" s="198"/>
      <c r="X23" s="198"/>
      <c r="Y23" s="198"/>
      <c r="Z23" s="198"/>
      <c r="AA23" s="198"/>
      <c r="AB23" s="198"/>
      <c r="AC23" s="198"/>
      <c r="AD23" s="198"/>
      <c r="AE23" s="198"/>
      <c r="AF23" s="198"/>
      <c r="AG23" s="198"/>
      <c r="AH23" s="198"/>
      <c r="AI23" s="198"/>
      <c r="AJ23" s="198"/>
      <c r="AK23" s="198"/>
      <c r="AL23" s="198"/>
      <c r="AM23" s="198"/>
      <c r="AO23" s="198"/>
      <c r="AP23" s="198"/>
      <c r="AQ23" s="198"/>
      <c r="AR23" s="198"/>
      <c r="AS23" s="198"/>
      <c r="AT23" s="198"/>
      <c r="AU23" s="198"/>
      <c r="AV23" s="198"/>
      <c r="AW23" s="198"/>
      <c r="AX23" s="198"/>
      <c r="AY23" s="198"/>
      <c r="AZ23" s="198"/>
      <c r="BA23" s="198"/>
    </row>
    <row r="24" spans="2:53" ht="14.5" customHeight="1" x14ac:dyDescent="0.3">
      <c r="B24" s="4"/>
      <c r="C24" s="75"/>
      <c r="D24" s="75"/>
      <c r="E24" s="37"/>
      <c r="F24" s="416" t="s">
        <v>57</v>
      </c>
      <c r="G24" s="416"/>
      <c r="H24" s="416"/>
      <c r="I24" s="416"/>
      <c r="J24" s="416"/>
      <c r="K24" s="168"/>
      <c r="L24" s="86" t="s">
        <v>212</v>
      </c>
      <c r="M24" s="37"/>
      <c r="N24" s="37"/>
      <c r="O24" s="171">
        <f>$K24*(IF($K$10="Freely draining",IF($K$11="600-625",IF($K$12="Yes",'Data Tables'!O6,'Data Tables'!P6),IF($K$11="625-650",IF($K$12="Yes",'Data Tables'!O6,'Data Tables'!P6),IF($K$11="650-675",IF($K$12="Yes",'Data Tables'!O6,'Data Tables'!P6),IF($K$11="675-700",IF($K$12="Yes",'Data Tables'!O6,'Data Tables'!P6),IF($K$11="700-750",IF($K$12="Yes",'Data Tables'!U6,'Data Tables'!V6),IF($K$11="750-800",IF($K$12="Yes",'Data Tables'!U6,'Data Tables'!V6),IF($K$11="800-850",IF($K$12="Yes",'Data Tables'!U6,'Data Tables'!V6),IF($K$12="Yes",'Data Tables'!U6,'Data Tables'!V6)))))))),IF($K$10="Impermeable - drained for arable",IF($K$11="600-625",IF($K$12="Yes",'Data Tables'!Q6,'Data Tables'!R6),IF($K$11="625-650",IF($K$12="Yes",'Data Tables'!Q6,'Data Tables'!R6),IF($K$11="650-675",IF($K$12="Yes",'Data Tables'!Q6,'Data Tables'!R6),IF($K$11="675-700",IF($K$12="Yes",'Data Tables'!Q6,'Data Tables'!R6),IF($K$11="700-750",IF($K$12="Yes",'Data Tables'!W6,'Data Tables'!X6),IF($K$11="750-800",IF($K$12="Yes",'Data Tables'!W6,'Data Tables'!X6),IF($K$11="800-850",IF($K$12="Yes",'Data Tables'!W6,'Data Tables'!X6),IF($K$12="Yes",'Data Tables'!W6,'Data Tables'!X6)))))))),IF($K$11="600-625",IF($K$12="Yes",'Data Tables'!S6,'Data Tables'!T6),IF($K$11="625-650",IF($K$12="Yes",'Data Tables'!S6,'Data Tables'!T6),IF($K$11="650-675",IF($K$12="Yes",'Data Tables'!S6,'Data Tables'!T6),IF($K$11="675-700",IF($K$12="Yes",'Data Tables'!S6,'Data Tables'!T6),IF($K$11="700-750",IF($K$12="Yes",'Data Tables'!Y6,'Data Tables'!Z6),IF($K$11="750-800",IF($K$12="Yes",'Data Tables'!Y6,'Data Tables'!Z6),IF($K$11="800-850",IF($K$12="Yes",'Data Tables'!Y6,'Data Tables'!Z6),IF($K$12="Yes",'Data Tables'!Y6,'Data Tables'!Z6)))))))))))</f>
        <v>0</v>
      </c>
      <c r="P24" s="173"/>
      <c r="Q24" s="324" t="s">
        <v>213</v>
      </c>
      <c r="R24" s="6"/>
      <c r="U24" s="198"/>
      <c r="V24" s="198"/>
      <c r="W24" s="198"/>
      <c r="X24" s="198"/>
      <c r="Y24" s="198"/>
      <c r="Z24" s="198"/>
      <c r="AA24" s="198"/>
      <c r="AB24" s="198"/>
      <c r="AC24" s="198"/>
      <c r="AD24" s="198"/>
      <c r="AE24" s="198"/>
      <c r="AF24" s="198"/>
      <c r="AG24" s="198"/>
      <c r="AH24" s="198"/>
      <c r="AI24" s="198"/>
      <c r="AJ24" s="198"/>
      <c r="AK24" s="198"/>
      <c r="AL24" s="198"/>
      <c r="AM24" s="198"/>
      <c r="AO24" s="198"/>
      <c r="AP24" s="198"/>
      <c r="AQ24" s="198"/>
      <c r="AR24" s="198"/>
      <c r="AS24" s="198"/>
      <c r="AT24" s="198"/>
      <c r="AU24" s="198"/>
      <c r="AV24" s="198"/>
      <c r="AW24" s="198"/>
      <c r="AX24" s="198"/>
      <c r="AY24" s="198"/>
      <c r="AZ24" s="198"/>
      <c r="BA24" s="198"/>
    </row>
    <row r="25" spans="2:53" ht="14.5" customHeight="1" x14ac:dyDescent="0.3">
      <c r="B25" s="4"/>
      <c r="C25" s="75"/>
      <c r="D25" s="75"/>
      <c r="E25" s="37"/>
      <c r="F25" s="416" t="s">
        <v>59</v>
      </c>
      <c r="G25" s="416"/>
      <c r="H25" s="416"/>
      <c r="I25" s="416"/>
      <c r="J25" s="416"/>
      <c r="K25" s="168"/>
      <c r="L25" s="86" t="s">
        <v>212</v>
      </c>
      <c r="M25" s="37"/>
      <c r="N25" s="37"/>
      <c r="O25" s="171">
        <f>$K25*(IF($K$10="Freely draining",IF($K$11="600-625",IF($K$12="Yes",'Data Tables'!O7,'Data Tables'!P7),IF($K$11="625-650",IF($K$12="Yes",'Data Tables'!O7,'Data Tables'!P7),IF($K$11="650-675",IF($K$12="Yes",'Data Tables'!O7,'Data Tables'!P7),IF($K$11="675-700",IF($K$12="Yes",'Data Tables'!O7,'Data Tables'!P7),IF($K$11="700-750",IF($K$12="Yes",'Data Tables'!U7,'Data Tables'!V7),IF($K$11="750-800",IF($K$12="Yes",'Data Tables'!U7,'Data Tables'!V7),IF($K$11="800-850",IF($K$12="Yes",'Data Tables'!U7,'Data Tables'!V7),IF($K$12="Yes",'Data Tables'!U7,'Data Tables'!V7)))))))),IF($K$10="Impermeable - drained for arable",IF($K$11="600-625",IF($K$12="Yes",'Data Tables'!Q7,'Data Tables'!R7),IF($K$11="625-650",IF($K$12="Yes",'Data Tables'!Q7,'Data Tables'!R7),IF($K$11="650-675",IF($K$12="Yes",'Data Tables'!Q7,'Data Tables'!R7),IF($K$11="675-700",IF($K$12="Yes",'Data Tables'!Q7,'Data Tables'!R7),IF($K$11="700-750",IF($K$12="Yes",'Data Tables'!W7,'Data Tables'!X7),IF($K$11="750-800",IF($K$12="Yes",'Data Tables'!W7,'Data Tables'!X7),IF($K$11="800-850",IF($K$12="Yes",'Data Tables'!W7,'Data Tables'!X7),IF($K$12="Yes",'Data Tables'!W7,'Data Tables'!X7)))))))),IF($K$11="600-625",IF($K$12="Yes",'Data Tables'!S7,'Data Tables'!T7),IF($K$11="625-650",IF($K$12="Yes",'Data Tables'!S7,'Data Tables'!T7),IF($K$11="650-675",IF($K$12="Yes",'Data Tables'!S7,'Data Tables'!T7),IF($K$11="675-700",IF($K$12="Yes",'Data Tables'!S7,'Data Tables'!T7),IF($K$11="700-750",IF($K$12="Yes",'Data Tables'!Y7,'Data Tables'!Z7),IF($K$11="750-800",IF($K$12="Yes",'Data Tables'!Y7,'Data Tables'!Z7),IF($K$11="800-850",IF($K$12="Yes",'Data Tables'!Y7,'Data Tables'!Z7),IF($K$12="Yes",'Data Tables'!Y7,'Data Tables'!Z7)))))))))))</f>
        <v>0</v>
      </c>
      <c r="P25" s="173"/>
      <c r="Q25" s="324" t="s">
        <v>213</v>
      </c>
      <c r="R25" s="6"/>
      <c r="U25" s="198"/>
      <c r="V25" s="198"/>
      <c r="W25" s="198"/>
      <c r="X25" s="198"/>
      <c r="Y25" s="198"/>
      <c r="Z25" s="198"/>
      <c r="AA25" s="198"/>
      <c r="AB25" s="198"/>
      <c r="AC25" s="198"/>
      <c r="AD25" s="198"/>
      <c r="AE25" s="198"/>
      <c r="AF25" s="198"/>
      <c r="AG25" s="198"/>
      <c r="AH25" s="198"/>
      <c r="AI25" s="198"/>
      <c r="AJ25" s="198"/>
      <c r="AK25" s="198"/>
      <c r="AL25" s="198"/>
      <c r="AM25" s="198"/>
      <c r="AO25" s="198"/>
      <c r="AP25" s="198"/>
      <c r="AQ25" s="198"/>
      <c r="AR25" s="198"/>
      <c r="AS25" s="198"/>
      <c r="AT25" s="198"/>
      <c r="AU25" s="198"/>
      <c r="AV25" s="198"/>
      <c r="AW25" s="198"/>
      <c r="AX25" s="198"/>
      <c r="AY25" s="198"/>
      <c r="AZ25" s="198"/>
      <c r="BA25" s="198"/>
    </row>
    <row r="26" spans="2:53" ht="14.5" customHeight="1" x14ac:dyDescent="0.3">
      <c r="B26" s="4"/>
      <c r="C26" s="75"/>
      <c r="D26" s="75"/>
      <c r="E26" s="37"/>
      <c r="F26" s="416" t="s">
        <v>214</v>
      </c>
      <c r="G26" s="416"/>
      <c r="H26" s="416"/>
      <c r="I26" s="416"/>
      <c r="J26" s="416"/>
      <c r="K26" s="168"/>
      <c r="L26" s="86" t="s">
        <v>212</v>
      </c>
      <c r="M26" s="37"/>
      <c r="N26" s="37"/>
      <c r="O26" s="171">
        <f>$K26*(IF($K$10="Freely draining",IF($K$11="600-625",IF($K$12="Yes",'Data Tables'!O8,'Data Tables'!P8),IF($K$11="625-650",IF($K$12="Yes",'Data Tables'!O8,'Data Tables'!P8),IF($K$11="650-675",IF($K$12="Yes",'Data Tables'!O8,'Data Tables'!P8),IF($K$11="675-700",IF($K$12="Yes",'Data Tables'!O8,'Data Tables'!P8),IF($K$11="700-750",IF($K$12="Yes",'Data Tables'!U8,'Data Tables'!V8),IF($K$11="750-800",IF($K$12="Yes",'Data Tables'!U8,'Data Tables'!V8),IF($K$11="800-850",IF($K$12="Yes",'Data Tables'!U8,'Data Tables'!V8),IF($K$12="Yes",'Data Tables'!U8,'Data Tables'!V8)))))))),IF($K$10="Impermeable - drained for arable",IF($K$11="600-625",IF($K$12="Yes",'Data Tables'!Q8,'Data Tables'!R8),IF($K$11="625-650",IF($K$12="Yes",'Data Tables'!Q8,'Data Tables'!R8),IF($K$11="650-675",IF($K$12="Yes",'Data Tables'!Q8,'Data Tables'!R8),IF($K$11="675-700",IF($K$12="Yes",'Data Tables'!Q8,'Data Tables'!R8),IF($K$11="700-750",IF($K$12="Yes",'Data Tables'!W8,'Data Tables'!X8),IF($K$11="750-800",IF($K$12="Yes",'Data Tables'!W8,'Data Tables'!X8),IF($K$11="800-850",IF($K$12="Yes",'Data Tables'!W8,'Data Tables'!X8),IF($K$12="Yes",'Data Tables'!W8,'Data Tables'!X8)))))))),IF($K$11="600-625",IF($K$12="Yes",'Data Tables'!S8,'Data Tables'!T8),IF($K$11="625-650",IF($K$12="Yes",'Data Tables'!S8,'Data Tables'!T8),IF($K$11="650-675",IF($K$12="Yes",'Data Tables'!S8,'Data Tables'!T8),IF($K$11="675-700",IF($K$12="Yes",'Data Tables'!S8,'Data Tables'!T8),IF($K$11="700-750",IF($K$12="Yes",'Data Tables'!Y8,'Data Tables'!Z8),IF($K$11="750-800",IF($K$12="Yes",'Data Tables'!Y8,'Data Tables'!Z8),IF($K$11="800-850",IF($K$12="Yes",'Data Tables'!Y8,'Data Tables'!Z8),IF($K$12="Yes",'Data Tables'!Y8,'Data Tables'!Z8)))))))))))</f>
        <v>0</v>
      </c>
      <c r="P26" s="173"/>
      <c r="Q26" s="324" t="s">
        <v>213</v>
      </c>
      <c r="R26" s="6"/>
      <c r="U26" s="198"/>
      <c r="V26" s="198"/>
      <c r="W26" s="198"/>
      <c r="X26" s="198"/>
      <c r="Y26" s="198"/>
      <c r="Z26" s="198"/>
      <c r="AA26" s="198"/>
      <c r="AB26" s="198"/>
      <c r="AC26" s="198"/>
      <c r="AD26" s="198"/>
      <c r="AE26" s="198"/>
      <c r="AF26" s="198"/>
      <c r="AG26" s="198"/>
      <c r="AH26" s="198"/>
      <c r="AI26" s="198"/>
      <c r="AJ26" s="198"/>
      <c r="AK26" s="198"/>
      <c r="AL26" s="198"/>
      <c r="AM26" s="198"/>
      <c r="AO26" s="198"/>
      <c r="AP26" s="198"/>
      <c r="AQ26" s="198"/>
      <c r="AR26" s="198"/>
      <c r="AS26" s="198"/>
      <c r="AT26" s="198"/>
      <c r="AU26" s="198"/>
      <c r="AV26" s="198"/>
      <c r="AW26" s="198"/>
      <c r="AX26" s="198"/>
      <c r="AY26" s="198"/>
      <c r="AZ26" s="198"/>
      <c r="BA26" s="198"/>
    </row>
    <row r="27" spans="2:53" ht="14.5" customHeight="1" x14ac:dyDescent="0.3">
      <c r="B27" s="4"/>
      <c r="C27" s="75"/>
      <c r="D27" s="75"/>
      <c r="E27" s="37"/>
      <c r="F27" s="416" t="s">
        <v>215</v>
      </c>
      <c r="G27" s="416"/>
      <c r="H27" s="416"/>
      <c r="I27" s="416"/>
      <c r="J27" s="416"/>
      <c r="K27" s="168"/>
      <c r="L27" s="86" t="s">
        <v>212</v>
      </c>
      <c r="M27" s="37"/>
      <c r="N27" s="37"/>
      <c r="O27" s="171">
        <f>$K27*(IF($K$10="Freely draining",IF($K$11="600-625",IF($K$12="Yes",'Data Tables'!O9,'Data Tables'!P9),IF($K$11="625-650",IF($K$12="Yes",'Data Tables'!O9,'Data Tables'!P9),IF($K$11="650-675",IF($K$12="Yes",'Data Tables'!O9,'Data Tables'!P9),IF($K$11="675-700",IF($K$12="Yes",'Data Tables'!O9,'Data Tables'!P9),IF($K$11="700-750",IF($K$12="Yes",'Data Tables'!U9,'Data Tables'!V9),IF($K$11="750-800",IF($K$12="Yes",'Data Tables'!U9,'Data Tables'!V9),IF($K$11="800-850",IF($K$12="Yes",'Data Tables'!U9,'Data Tables'!V9),IF($K$12="Yes",'Data Tables'!U9,'Data Tables'!V9)))))))),IF($K$10="Impermeable - drained for arable",IF($K$11="600-625",IF($K$12="Yes",'Data Tables'!Q9,'Data Tables'!R9),IF($K$11="625-650",IF($K$12="Yes",'Data Tables'!Q9,'Data Tables'!R9),IF($K$11="650-675",IF($K$12="Yes",'Data Tables'!Q9,'Data Tables'!R9),IF($K$11="675-700",IF($K$12="Yes",'Data Tables'!Q9,'Data Tables'!R9),IF($K$11="700-750",IF($K$12="Yes",'Data Tables'!W9,'Data Tables'!X9),IF($K$11="750-800",IF($K$12="Yes",'Data Tables'!W9,'Data Tables'!X9),IF($K$11="800-850",IF($K$12="Yes",'Data Tables'!W9,'Data Tables'!X9),IF($K$12="Yes",'Data Tables'!W9,'Data Tables'!X9)))))))),IF($K$11="600-625",IF($K$12="Yes",'Data Tables'!S9,'Data Tables'!T9),IF($K$11="625-650",IF($K$12="Yes",'Data Tables'!S9,'Data Tables'!T9),IF($K$11="650-675",IF($K$12="Yes",'Data Tables'!S9,'Data Tables'!T9),IF($K$11="675-700",IF($K$12="Yes",'Data Tables'!S9,'Data Tables'!T9),IF($K$11="700-750",IF($K$12="Yes",'Data Tables'!Y9,'Data Tables'!Z9),IF($K$11="750-800",IF($K$12="Yes",'Data Tables'!Y9,'Data Tables'!Z9),IF($K$11="800-850",IF($K$12="Yes",'Data Tables'!Y9,'Data Tables'!Z9),IF($K$12="Yes",'Data Tables'!Y9,'Data Tables'!Z9)))))))))))</f>
        <v>0</v>
      </c>
      <c r="P27" s="173"/>
      <c r="Q27" s="324" t="s">
        <v>213</v>
      </c>
      <c r="R27" s="6"/>
      <c r="U27" s="198"/>
      <c r="V27" s="198"/>
      <c r="W27" s="198"/>
      <c r="X27" s="198"/>
      <c r="Y27" s="198"/>
      <c r="Z27" s="198"/>
      <c r="AA27" s="198"/>
      <c r="AB27" s="198"/>
      <c r="AC27" s="198"/>
      <c r="AD27" s="198"/>
      <c r="AE27" s="198"/>
      <c r="AF27" s="198"/>
      <c r="AG27" s="198"/>
      <c r="AH27" s="198"/>
      <c r="AI27" s="198"/>
      <c r="AJ27" s="198"/>
      <c r="AK27" s="198"/>
      <c r="AL27" s="198"/>
      <c r="AM27" s="198"/>
      <c r="AO27" s="198"/>
      <c r="AP27" s="198"/>
      <c r="AQ27" s="198"/>
      <c r="AR27" s="198"/>
      <c r="AS27" s="198"/>
      <c r="AT27" s="198"/>
      <c r="AU27" s="198"/>
      <c r="AV27" s="198"/>
      <c r="AW27" s="198"/>
      <c r="AX27" s="198"/>
      <c r="AY27" s="198"/>
      <c r="AZ27" s="198"/>
      <c r="BA27" s="198"/>
    </row>
    <row r="28" spans="2:53" ht="14.5" customHeight="1" x14ac:dyDescent="0.3">
      <c r="B28" s="4"/>
      <c r="C28" s="75"/>
      <c r="D28" s="75"/>
      <c r="E28" s="37"/>
      <c r="F28" s="416" t="s">
        <v>51</v>
      </c>
      <c r="G28" s="416"/>
      <c r="H28" s="416"/>
      <c r="I28" s="416"/>
      <c r="J28" s="416"/>
      <c r="K28" s="168"/>
      <c r="L28" s="86" t="s">
        <v>212</v>
      </c>
      <c r="M28" s="37"/>
      <c r="N28" s="37"/>
      <c r="O28" s="171">
        <f>$K28*(IF($K$10="Freely draining",IF($K$11="600-625",IF($K$12="Yes",'Data Tables'!O10,'Data Tables'!P10),IF($K$11="625-650",IF($K$12="Yes",'Data Tables'!O10,'Data Tables'!P10),IF($K$11="650-675",IF($K$12="Yes",'Data Tables'!O10,'Data Tables'!P10),IF($K$11="675-700",IF($K$12="Yes",'Data Tables'!O10,'Data Tables'!P10),IF($K$11="700-750",IF($K$12="Yes",'Data Tables'!U10,'Data Tables'!V10),IF($K$11="750-800",IF($K$12="Yes",'Data Tables'!U10,'Data Tables'!V10),IF($K$11="800-850",IF($K$12="Yes",'Data Tables'!U10,'Data Tables'!V10),IF($K$12="Yes",'Data Tables'!U10,'Data Tables'!V10)))))))),IF($K$10="Impermeable - drained for arable",IF($K$11="600-625",IF($K$12="Yes",'Data Tables'!Q10,'Data Tables'!R10),IF($K$11="625-650",IF($K$12="Yes",'Data Tables'!Q10,'Data Tables'!R10),IF($K$11="650-675",IF($K$12="Yes",'Data Tables'!Q10,'Data Tables'!R10),IF($K$11="675-700",IF($K$12="Yes",'Data Tables'!Q10,'Data Tables'!R10),IF($K$11="700-750",IF($K$12="Yes",'Data Tables'!W10,'Data Tables'!X10),IF($K$11="750-800",IF($K$12="Yes",'Data Tables'!W10,'Data Tables'!X10),IF($K$11="800-850",IF($K$12="Yes",'Data Tables'!W10,'Data Tables'!X10),IF($K$12="Yes",'Data Tables'!W10,'Data Tables'!X10)))))))),IF($K$11="600-625",IF($K$12="Yes",'Data Tables'!S10,'Data Tables'!T10),IF($K$11="625-650",IF($K$12="Yes",'Data Tables'!S10,'Data Tables'!T10),IF($K$11="650-675",IF($K$12="Yes",'Data Tables'!S10,'Data Tables'!T10),IF($K$11="675-700",IF($K$12="Yes",'Data Tables'!S10,'Data Tables'!T10),IF($K$11="700-750",IF($K$12="Yes",'Data Tables'!Y10,'Data Tables'!Z10),IF($K$11="750-800",IF($K$12="Yes",'Data Tables'!Y10,'Data Tables'!Z10),IF($K$11="800-850",IF($K$12="Yes",'Data Tables'!Y10,'Data Tables'!Z10),IF($K$12="Yes",'Data Tables'!Y10,'Data Tables'!Z10)))))))))))</f>
        <v>0</v>
      </c>
      <c r="P28" s="173"/>
      <c r="Q28" s="324" t="s">
        <v>213</v>
      </c>
      <c r="R28" s="6"/>
      <c r="U28" s="198"/>
      <c r="V28" s="198"/>
      <c r="W28" s="198"/>
      <c r="X28" s="198"/>
      <c r="Y28" s="198"/>
      <c r="Z28" s="198"/>
      <c r="AA28" s="198"/>
      <c r="AB28" s="198"/>
      <c r="AC28" s="198"/>
      <c r="AD28" s="198"/>
      <c r="AE28" s="198"/>
      <c r="AF28" s="198"/>
      <c r="AG28" s="198"/>
      <c r="AH28" s="198"/>
      <c r="AI28" s="198"/>
      <c r="AJ28" s="198"/>
      <c r="AK28" s="198"/>
      <c r="AL28" s="198"/>
      <c r="AM28" s="198"/>
      <c r="AO28" s="198"/>
      <c r="AP28" s="198"/>
      <c r="AQ28" s="198"/>
      <c r="AR28" s="198"/>
      <c r="AS28" s="198"/>
      <c r="AT28" s="198"/>
      <c r="AU28" s="198"/>
      <c r="AV28" s="198"/>
      <c r="AW28" s="198"/>
      <c r="AX28" s="198"/>
      <c r="AY28" s="198"/>
      <c r="AZ28" s="198"/>
      <c r="BA28" s="198"/>
    </row>
    <row r="29" spans="2:53" ht="14.5" customHeight="1" x14ac:dyDescent="0.3">
      <c r="B29" s="4"/>
      <c r="C29" s="75"/>
      <c r="D29" s="75"/>
      <c r="E29" s="37"/>
      <c r="F29" s="416" t="s">
        <v>49</v>
      </c>
      <c r="G29" s="416"/>
      <c r="H29" s="416"/>
      <c r="I29" s="416"/>
      <c r="J29" s="416"/>
      <c r="K29" s="168"/>
      <c r="L29" s="86" t="s">
        <v>212</v>
      </c>
      <c r="M29" s="37"/>
      <c r="N29" s="37"/>
      <c r="O29" s="171">
        <f>$K29*(IF($K$10="Freely draining",IF($K$11="600-625",IF($K$12="Yes",'Data Tables'!O11,'Data Tables'!P11),IF($K$11="625-650",IF($K$12="Yes",'Data Tables'!O11,'Data Tables'!P11),IF($K$11="650-675",IF($K$12="Yes",'Data Tables'!O11,'Data Tables'!P11),IF($K$11="675-700",IF($K$12="Yes",'Data Tables'!O11,'Data Tables'!P11),IF($K$11="700-750",IF($K$12="Yes",'Data Tables'!U11,'Data Tables'!V11),IF($K$11="750-800",IF($K$12="Yes",'Data Tables'!U11,'Data Tables'!V11),IF($K$11="800-850",IF($K$12="Yes",'Data Tables'!U11,'Data Tables'!V11),IF($K$12="Yes",'Data Tables'!U11,'Data Tables'!V11)))))))),IF($K$10="Impermeable - drained for arable",IF($K$11="600-625",IF($K$12="Yes",'Data Tables'!Q11,'Data Tables'!R11),IF($K$11="625-650",IF($K$12="Yes",'Data Tables'!Q11,'Data Tables'!R11),IF($K$11="650-675",IF($K$12="Yes",'Data Tables'!Q11,'Data Tables'!R11),IF($K$11="675-700",IF($K$12="Yes",'Data Tables'!Q11,'Data Tables'!R11),IF($K$11="700-750",IF($K$12="Yes",'Data Tables'!W11,'Data Tables'!X11),IF($K$11="750-800",IF($K$12="Yes",'Data Tables'!W11,'Data Tables'!X11),IF($K$11="800-850",IF($K$12="Yes",'Data Tables'!W11,'Data Tables'!X11),IF($K$12="Yes",'Data Tables'!W11,'Data Tables'!X11)))))))),IF($K$11="600-625",IF($K$12="Yes",'Data Tables'!S11,'Data Tables'!T11),IF($K$11="625-650",IF($K$12="Yes",'Data Tables'!S11,'Data Tables'!T11),IF($K$11="650-675",IF($K$12="Yes",'Data Tables'!S11,'Data Tables'!T11),IF($K$11="675-700",IF($K$12="Yes",'Data Tables'!S11,'Data Tables'!T11),IF($K$11="700-750",IF($K$12="Yes",'Data Tables'!Y11,'Data Tables'!Z11),IF($K$11="750-800",IF($K$12="Yes",'Data Tables'!Y11,'Data Tables'!Z11),IF($K$11="800-850",IF($K$12="Yes",'Data Tables'!Y11,'Data Tables'!Z11),IF($K$12="Yes",'Data Tables'!Y11,'Data Tables'!Z11)))))))))))</f>
        <v>0</v>
      </c>
      <c r="P29" s="173"/>
      <c r="Q29" s="324" t="s">
        <v>213</v>
      </c>
      <c r="R29" s="6"/>
      <c r="U29" s="198"/>
      <c r="V29" s="198"/>
      <c r="W29" s="198"/>
      <c r="X29" s="198"/>
      <c r="Y29" s="198"/>
      <c r="Z29" s="198"/>
      <c r="AA29" s="198"/>
      <c r="AB29" s="198"/>
      <c r="AC29" s="198"/>
      <c r="AD29" s="198"/>
      <c r="AE29" s="198"/>
      <c r="AF29" s="198"/>
      <c r="AG29" s="198"/>
      <c r="AH29" s="198"/>
      <c r="AI29" s="198"/>
      <c r="AJ29" s="198"/>
      <c r="AK29" s="198"/>
      <c r="AL29" s="198"/>
      <c r="AM29" s="198"/>
      <c r="AO29" s="198"/>
      <c r="AP29" s="198"/>
      <c r="AQ29" s="198"/>
      <c r="AR29" s="198"/>
      <c r="AS29" s="198"/>
      <c r="AT29" s="198"/>
      <c r="AU29" s="198"/>
      <c r="AV29" s="198"/>
      <c r="AW29" s="198"/>
      <c r="AX29" s="198"/>
      <c r="AY29" s="198"/>
      <c r="AZ29" s="198"/>
      <c r="BA29" s="198"/>
    </row>
    <row r="30" spans="2:53" ht="14.5" customHeight="1" x14ac:dyDescent="0.3">
      <c r="B30" s="4"/>
      <c r="C30" s="75"/>
      <c r="D30" s="75"/>
      <c r="E30" s="37"/>
      <c r="F30" s="400" t="s">
        <v>63</v>
      </c>
      <c r="G30" s="400"/>
      <c r="H30" s="400"/>
      <c r="I30" s="400"/>
      <c r="J30" s="400"/>
      <c r="K30" s="168"/>
      <c r="L30" s="86" t="s">
        <v>212</v>
      </c>
      <c r="M30" s="37"/>
      <c r="N30" s="37"/>
      <c r="O30" s="171">
        <f>$K30*(IF($K$10="Freely draining",IF($K$11="600-625",IF($K$12="Yes",'Data Tables'!O12,'Data Tables'!P12),IF($K$11="625-650",IF($K$12="Yes",'Data Tables'!O12,'Data Tables'!P12),IF($K$11="650-675",IF($K$12="Yes",'Data Tables'!O12,'Data Tables'!P12),IF($K$11="675-700",IF($K$12="Yes",'Data Tables'!O12,'Data Tables'!P12),IF($K$11="700-750",IF($K$12="Yes",'Data Tables'!U12,'Data Tables'!V12),IF($K$11="750-800",IF($K$12="Yes",'Data Tables'!U12,'Data Tables'!V12),IF($K$11="800-850",IF($K$12="Yes",'Data Tables'!U12,'Data Tables'!V12),IF($K$12="Yes",'Data Tables'!U12,'Data Tables'!V12)))))))),IF($K$10="Impermeable - drained for arable",IF($K$11="600-625",IF($K$12="Yes",'Data Tables'!Q12,'Data Tables'!R12),IF($K$11="625-650",IF($K$12="Yes",'Data Tables'!Q12,'Data Tables'!R12),IF($K$11="650-675",IF($K$12="Yes",'Data Tables'!Q12,'Data Tables'!R12),IF($K$11="675-700",IF($K$12="Yes",'Data Tables'!Q12,'Data Tables'!R12),IF($K$11="700-750",IF($K$12="Yes",'Data Tables'!W12,'Data Tables'!X12),IF($K$11="750-800",IF($K$12="Yes",'Data Tables'!W12,'Data Tables'!X12),IF($K$11="800-850",IF($K$12="Yes",'Data Tables'!W12,'Data Tables'!X12),IF($K$12="Yes",'Data Tables'!W12,'Data Tables'!X12)))))))),IF($K$11="600-625",IF($K$12="Yes",'Data Tables'!S12,'Data Tables'!T12),IF($K$11="625-650",IF($K$12="Yes",'Data Tables'!S12,'Data Tables'!T12),IF($K$11="650-675",IF($K$12="Yes",'Data Tables'!S12,'Data Tables'!T12),IF($K$11="675-700",IF($K$12="Yes",'Data Tables'!S12,'Data Tables'!T12),IF($K$11="700-750",IF($K$12="Yes",'Data Tables'!Y12,'Data Tables'!Z12),IF($K$11="750-800",IF($K$12="Yes",'Data Tables'!Y12,'Data Tables'!Z12),IF($K$11="800-850",IF($K$12="Yes",'Data Tables'!Y12,'Data Tables'!Z12),IF($K$12="Yes",'Data Tables'!Y12,'Data Tables'!Z12)))))))))))</f>
        <v>0</v>
      </c>
      <c r="P30" s="173"/>
      <c r="Q30" s="324" t="s">
        <v>213</v>
      </c>
      <c r="R30" s="6"/>
      <c r="U30" s="198"/>
      <c r="V30" s="198"/>
      <c r="W30" s="198"/>
      <c r="X30" s="198"/>
      <c r="Y30" s="198"/>
      <c r="Z30" s="198"/>
      <c r="AA30" s="198"/>
      <c r="AB30" s="198"/>
      <c r="AC30" s="198"/>
      <c r="AD30" s="198"/>
      <c r="AE30" s="198"/>
      <c r="AF30" s="198"/>
      <c r="AG30" s="198"/>
      <c r="AH30" s="198"/>
      <c r="AI30" s="198"/>
      <c r="AJ30" s="198"/>
      <c r="AK30" s="198"/>
      <c r="AL30" s="198"/>
      <c r="AM30" s="198"/>
      <c r="AO30" s="198"/>
      <c r="AP30" s="198"/>
      <c r="AQ30" s="198"/>
      <c r="AR30" s="198"/>
      <c r="AS30" s="198"/>
      <c r="AT30" s="198"/>
      <c r="AU30" s="198"/>
      <c r="AV30" s="198"/>
      <c r="AW30" s="198"/>
      <c r="AX30" s="198"/>
      <c r="AY30" s="198"/>
      <c r="AZ30" s="198"/>
      <c r="BA30" s="198"/>
    </row>
    <row r="31" spans="2:53" ht="14.5" customHeight="1" x14ac:dyDescent="0.3">
      <c r="B31" s="4"/>
      <c r="C31" s="75"/>
      <c r="D31" s="75"/>
      <c r="E31" s="37"/>
      <c r="F31" s="400" t="str">
        <f>'Data Tables'!J5</f>
        <v>Allotments and city farms</v>
      </c>
      <c r="G31" s="400"/>
      <c r="H31" s="400"/>
      <c r="I31" s="400"/>
      <c r="J31" s="400"/>
      <c r="K31" s="168"/>
      <c r="L31" s="86" t="s">
        <v>212</v>
      </c>
      <c r="M31" s="37"/>
      <c r="N31" s="37"/>
      <c r="O31" s="171">
        <f>$K31*(IF($K$10="Freely draining",IF($K$11="600-625",IF($K$12="Yes",'Data Tables'!O13,'Data Tables'!P13),IF($K$11="625-650",IF($K$12="Yes",'Data Tables'!O13,'Data Tables'!P13),IF($K$11="650-675",IF($K$12="Yes",'Data Tables'!O13,'Data Tables'!P13),IF($K$11="675-700",IF($K$12="Yes",'Data Tables'!O13,'Data Tables'!P13),IF($K$11="700-750",IF($K$12="Yes",'Data Tables'!U13,'Data Tables'!V13),IF($K$11="750-800",IF($K$12="Yes",'Data Tables'!U13,'Data Tables'!V13),IF($K$11="800-850",IF($K$12="Yes",'Data Tables'!U13,'Data Tables'!V13),IF($K$12="Yes",'Data Tables'!U13,'Data Tables'!V13)))))))),IF($K$10="Impermeable - drained for arable",IF($K$11="600-625",IF($K$12="Yes",'Data Tables'!Q13,'Data Tables'!R13),IF($K$11="625-650",IF($K$12="Yes",'Data Tables'!Q13,'Data Tables'!R13),IF($K$11="650-675",IF($K$12="Yes",'Data Tables'!Q13,'Data Tables'!R13),IF($K$11="675-700",IF($K$12="Yes",'Data Tables'!Q13,'Data Tables'!R13),IF($K$11="700-750",IF($K$12="Yes",'Data Tables'!W13,'Data Tables'!X13),IF($K$11="750-800",IF($K$12="Yes",'Data Tables'!W13,'Data Tables'!X13),IF($K$11="800-850",IF($K$12="Yes",'Data Tables'!W13,'Data Tables'!X13),IF($K$12="Yes",'Data Tables'!W13,'Data Tables'!X13)))))))),IF($K$11="600-625",IF($K$12="Yes",'Data Tables'!S13,'Data Tables'!T13),IF($K$11="625-650",IF($K$12="Yes",'Data Tables'!S13,'Data Tables'!T13),IF($K$11="650-675",IF($K$12="Yes",'Data Tables'!S13,'Data Tables'!T13),IF($K$11="675-700",IF($K$12="Yes",'Data Tables'!S13,'Data Tables'!T13),IF($K$11="700-750",IF($K$12="Yes",'Data Tables'!Y13,'Data Tables'!Z13),IF($K$11="750-800",IF($K$12="Yes",'Data Tables'!Y13,'Data Tables'!Z13),IF($K$11="800-850",IF($K$12="Yes",'Data Tables'!Y13,'Data Tables'!Z13),IF($K$12="Yes",'Data Tables'!Y13,'Data Tables'!Z13)))))))))))</f>
        <v>0</v>
      </c>
      <c r="P31" s="173"/>
      <c r="Q31" s="324" t="s">
        <v>213</v>
      </c>
      <c r="R31" s="6"/>
      <c r="U31" s="198"/>
      <c r="V31" s="198"/>
      <c r="W31" s="198"/>
      <c r="X31" s="198"/>
      <c r="Y31" s="198"/>
      <c r="Z31" s="198"/>
      <c r="AA31" s="198"/>
      <c r="AB31" s="198"/>
      <c r="AC31" s="198"/>
      <c r="AD31" s="198"/>
      <c r="AE31" s="198"/>
      <c r="AF31" s="198"/>
      <c r="AG31" s="198"/>
      <c r="AH31" s="198"/>
      <c r="AI31" s="198"/>
      <c r="AJ31" s="198"/>
      <c r="AK31" s="198"/>
      <c r="AL31" s="198"/>
      <c r="AM31" s="198"/>
      <c r="AO31" s="198"/>
      <c r="AP31" s="198"/>
      <c r="AQ31" s="198"/>
      <c r="AR31" s="198"/>
      <c r="AS31" s="198"/>
      <c r="AT31" s="198"/>
      <c r="AU31" s="198"/>
      <c r="AV31" s="198"/>
      <c r="AW31" s="198"/>
      <c r="AX31" s="198"/>
      <c r="AY31" s="198"/>
      <c r="AZ31" s="198"/>
      <c r="BA31" s="198"/>
    </row>
    <row r="32" spans="2:53" ht="14.5" customHeight="1" x14ac:dyDescent="0.3">
      <c r="B32" s="4"/>
      <c r="C32" s="75"/>
      <c r="D32" s="75"/>
      <c r="E32" s="37"/>
      <c r="F32" s="400" t="s">
        <v>216</v>
      </c>
      <c r="G32" s="400"/>
      <c r="H32" s="400"/>
      <c r="I32" s="400"/>
      <c r="J32" s="400"/>
      <c r="K32" s="168"/>
      <c r="L32" s="86" t="s">
        <v>212</v>
      </c>
      <c r="M32" s="37"/>
      <c r="N32" s="37"/>
      <c r="O32" s="187">
        <f>K32*'Data Tables'!K7</f>
        <v>0</v>
      </c>
      <c r="P32" s="325"/>
      <c r="Q32" s="324" t="s">
        <v>213</v>
      </c>
      <c r="R32" s="6"/>
      <c r="T32" s="198"/>
    </row>
    <row r="33" spans="2:33" ht="14.5" customHeight="1" x14ac:dyDescent="0.3">
      <c r="B33" s="4"/>
      <c r="C33" s="75"/>
      <c r="D33" s="75"/>
      <c r="E33" s="37"/>
      <c r="F33" s="400" t="s">
        <v>65</v>
      </c>
      <c r="G33" s="400"/>
      <c r="H33" s="400"/>
      <c r="I33" s="400"/>
      <c r="J33" s="400"/>
      <c r="K33" s="168"/>
      <c r="L33" s="86" t="s">
        <v>212</v>
      </c>
      <c r="M33" s="37"/>
      <c r="N33" s="37"/>
      <c r="O33" s="187">
        <f>K33*'Data Tables'!K6</f>
        <v>0</v>
      </c>
      <c r="P33" s="325"/>
      <c r="Q33" s="324" t="s">
        <v>213</v>
      </c>
      <c r="R33" s="6"/>
    </row>
    <row r="34" spans="2:33" ht="14.5" customHeight="1" x14ac:dyDescent="0.35">
      <c r="B34" s="4"/>
      <c r="C34" s="75"/>
      <c r="D34" s="75"/>
      <c r="E34" s="37"/>
      <c r="F34" s="400" t="s">
        <v>69</v>
      </c>
      <c r="G34" s="400"/>
      <c r="H34" s="400"/>
      <c r="I34" s="400"/>
      <c r="J34" s="400"/>
      <c r="K34" s="168"/>
      <c r="L34" s="86" t="s">
        <v>212</v>
      </c>
      <c r="M34" s="37"/>
      <c r="N34" s="37"/>
      <c r="O34" s="187">
        <f>K34*'Data Tables'!K8</f>
        <v>0</v>
      </c>
      <c r="P34" s="325"/>
      <c r="Q34" s="324" t="s">
        <v>213</v>
      </c>
      <c r="R34" s="6"/>
      <c r="U34" s="319"/>
      <c r="V34" s="319"/>
      <c r="W34" s="319"/>
      <c r="X34" s="319"/>
      <c r="Y34" s="319"/>
      <c r="Z34" s="319"/>
      <c r="AA34" s="319"/>
      <c r="AB34" s="319"/>
      <c r="AC34" s="319"/>
      <c r="AD34" s="319"/>
      <c r="AE34" s="319"/>
      <c r="AF34" s="319"/>
    </row>
    <row r="35" spans="2:33" ht="14.5" customHeight="1" x14ac:dyDescent="0.35">
      <c r="B35" s="4"/>
      <c r="C35" s="75"/>
      <c r="D35" s="75"/>
      <c r="E35" s="37"/>
      <c r="F35" s="400" t="s">
        <v>71</v>
      </c>
      <c r="G35" s="400"/>
      <c r="H35" s="400"/>
      <c r="I35" s="400"/>
      <c r="J35" s="400"/>
      <c r="K35" s="168"/>
      <c r="L35" s="86" t="s">
        <v>212</v>
      </c>
      <c r="M35" s="37"/>
      <c r="N35" s="37"/>
      <c r="O35" s="187">
        <f>K35*'Data Tables'!K9</f>
        <v>0</v>
      </c>
      <c r="P35" s="325"/>
      <c r="Q35" s="324" t="s">
        <v>213</v>
      </c>
      <c r="R35" s="6"/>
      <c r="U35" s="169"/>
      <c r="V35" s="169"/>
      <c r="W35" s="169"/>
      <c r="X35" s="169"/>
      <c r="Y35" s="169"/>
      <c r="Z35" s="169"/>
      <c r="AA35" s="169"/>
      <c r="AB35" s="169"/>
      <c r="AC35" s="169"/>
      <c r="AD35" s="169"/>
      <c r="AE35" s="169"/>
      <c r="AF35" s="169"/>
      <c r="AG35" s="169"/>
    </row>
    <row r="36" spans="2:33" ht="7.5" customHeight="1" x14ac:dyDescent="0.3">
      <c r="B36" s="4"/>
      <c r="C36" s="75"/>
      <c r="D36" s="75"/>
      <c r="E36" s="37"/>
      <c r="F36" s="415" t="s">
        <v>217</v>
      </c>
      <c r="G36" s="415"/>
      <c r="H36" s="415"/>
      <c r="I36" s="415"/>
      <c r="J36" s="415"/>
      <c r="K36" s="37"/>
      <c r="L36" s="86"/>
      <c r="M36" s="37"/>
      <c r="N36" s="37"/>
      <c r="O36" s="37"/>
      <c r="P36" s="37"/>
      <c r="Q36" s="324"/>
      <c r="R36" s="6"/>
      <c r="U36" s="13"/>
      <c r="V36" s="13"/>
      <c r="W36" s="13"/>
      <c r="X36" s="13"/>
      <c r="Y36" s="13"/>
      <c r="Z36" s="13"/>
      <c r="AA36" s="13"/>
      <c r="AB36" s="13"/>
      <c r="AC36" s="13"/>
      <c r="AD36" s="13"/>
      <c r="AE36" s="13"/>
      <c r="AF36" s="13"/>
    </row>
    <row r="37" spans="2:33" ht="13" x14ac:dyDescent="0.3">
      <c r="B37" s="4"/>
      <c r="C37" s="75"/>
      <c r="D37" s="75"/>
      <c r="E37" s="37"/>
      <c r="F37" s="415"/>
      <c r="G37" s="415"/>
      <c r="H37" s="415"/>
      <c r="I37" s="415"/>
      <c r="J37" s="415"/>
      <c r="K37" s="112">
        <f>SUM(K18:K35)</f>
        <v>0</v>
      </c>
      <c r="L37" s="90" t="s">
        <v>212</v>
      </c>
      <c r="M37" s="37"/>
      <c r="N37" s="37"/>
      <c r="O37" s="326">
        <f>SUM(O18:O35)</f>
        <v>0</v>
      </c>
      <c r="P37" s="37"/>
      <c r="Q37" s="327" t="s">
        <v>213</v>
      </c>
      <c r="R37" s="6"/>
      <c r="U37" s="13"/>
      <c r="V37" s="13"/>
      <c r="W37" s="13"/>
      <c r="X37" s="13"/>
      <c r="Y37" s="13"/>
      <c r="Z37" s="13"/>
      <c r="AA37" s="13"/>
      <c r="AB37" s="13"/>
      <c r="AC37" s="13"/>
      <c r="AD37" s="13"/>
      <c r="AE37" s="13"/>
      <c r="AF37" s="13"/>
    </row>
    <row r="38" spans="2:33" ht="13" x14ac:dyDescent="0.3">
      <c r="B38" s="4"/>
      <c r="C38" s="75"/>
      <c r="D38" s="75"/>
      <c r="E38" s="37"/>
      <c r="F38" s="37"/>
      <c r="G38" s="37"/>
      <c r="H38" s="37"/>
      <c r="I38" s="37"/>
      <c r="J38" s="37"/>
      <c r="K38" s="37"/>
      <c r="L38" s="37"/>
      <c r="M38" s="37"/>
      <c r="N38" s="37"/>
      <c r="O38" s="37"/>
      <c r="P38" s="37"/>
      <c r="Q38" s="37"/>
      <c r="R38" s="6"/>
      <c r="T38" s="13"/>
      <c r="U38" s="13"/>
      <c r="V38" s="13"/>
      <c r="W38" s="13"/>
      <c r="X38" s="13"/>
      <c r="Y38" s="13"/>
      <c r="Z38" s="13"/>
      <c r="AA38" s="13"/>
      <c r="AB38" s="13"/>
      <c r="AC38" s="13"/>
      <c r="AD38" s="13"/>
      <c r="AE38" s="13"/>
      <c r="AF38" s="13"/>
    </row>
    <row r="39" spans="2:33" ht="8.15" customHeight="1" x14ac:dyDescent="0.3">
      <c r="B39" s="4"/>
      <c r="C39" s="75"/>
      <c r="D39" s="75"/>
      <c r="E39" s="293"/>
      <c r="F39" s="293"/>
      <c r="G39" s="293"/>
      <c r="H39" s="293"/>
      <c r="I39" s="293"/>
      <c r="J39" s="293"/>
      <c r="K39" s="293"/>
      <c r="L39" s="293"/>
      <c r="M39" s="293"/>
      <c r="N39" s="293"/>
      <c r="O39" s="293"/>
      <c r="P39" s="293"/>
      <c r="Q39" s="293"/>
      <c r="R39" s="6"/>
      <c r="U39" s="13"/>
      <c r="V39" s="13"/>
      <c r="W39" s="13"/>
      <c r="X39" s="13"/>
      <c r="Y39" s="13"/>
      <c r="Z39" s="13"/>
      <c r="AA39" s="13"/>
      <c r="AB39" s="13"/>
      <c r="AC39" s="13"/>
      <c r="AD39" s="13"/>
      <c r="AE39" s="13"/>
      <c r="AF39" s="13"/>
    </row>
    <row r="40" spans="2:33" ht="23.5" customHeight="1" x14ac:dyDescent="0.3">
      <c r="B40" s="4"/>
      <c r="C40" s="75"/>
      <c r="D40" s="75"/>
      <c r="E40" s="295">
        <v>3</v>
      </c>
      <c r="F40" s="99" t="s">
        <v>219</v>
      </c>
      <c r="G40" s="99"/>
      <c r="H40" s="99"/>
      <c r="I40" s="99"/>
      <c r="J40" s="99"/>
      <c r="K40" s="292"/>
      <c r="L40" s="292"/>
      <c r="M40" s="292"/>
      <c r="N40" s="292"/>
      <c r="O40" s="292"/>
      <c r="P40" s="292"/>
      <c r="Q40" s="292"/>
      <c r="R40" s="6"/>
      <c r="U40" s="13"/>
      <c r="V40" s="13"/>
      <c r="W40" s="13"/>
      <c r="X40" s="13"/>
      <c r="Y40" s="13"/>
      <c r="Z40" s="13"/>
      <c r="AA40" s="13"/>
      <c r="AB40" s="13"/>
      <c r="AC40" s="13"/>
      <c r="AD40" s="13"/>
      <c r="AE40" s="13"/>
      <c r="AF40" s="13"/>
    </row>
    <row r="41" spans="2:33" ht="11.5" customHeight="1" x14ac:dyDescent="0.3">
      <c r="B41" s="4"/>
      <c r="C41" s="75"/>
      <c r="D41" s="75"/>
      <c r="E41" s="85"/>
      <c r="F41" s="99"/>
      <c r="G41" s="99"/>
      <c r="H41" s="99"/>
      <c r="I41" s="99"/>
      <c r="J41" s="99"/>
      <c r="K41" s="303" t="s">
        <v>144</v>
      </c>
      <c r="L41" s="303" t="s">
        <v>145</v>
      </c>
      <c r="M41" s="292"/>
      <c r="N41" s="292"/>
      <c r="O41" s="292"/>
      <c r="P41" s="292"/>
      <c r="Q41" s="292"/>
      <c r="R41" s="6"/>
      <c r="U41" s="13"/>
      <c r="V41" s="13"/>
      <c r="W41" s="13"/>
      <c r="X41" s="13"/>
      <c r="Y41" s="13"/>
      <c r="Z41" s="13"/>
      <c r="AA41" s="13"/>
      <c r="AB41" s="13"/>
      <c r="AC41" s="13"/>
      <c r="AD41" s="13"/>
      <c r="AE41" s="13"/>
      <c r="AF41" s="13"/>
    </row>
    <row r="42" spans="2:33" ht="15" customHeight="1" x14ac:dyDescent="0.3">
      <c r="B42" s="4"/>
      <c r="C42" s="75"/>
      <c r="D42" s="75"/>
      <c r="E42" s="37"/>
      <c r="F42" s="402" t="s">
        <v>220</v>
      </c>
      <c r="G42" s="402"/>
      <c r="H42" s="402"/>
      <c r="I42" s="402"/>
      <c r="J42" s="402"/>
      <c r="K42" s="186">
        <f>O37</f>
        <v>0</v>
      </c>
      <c r="L42" s="90" t="s">
        <v>213</v>
      </c>
      <c r="M42" s="75"/>
      <c r="N42" s="75"/>
      <c r="O42" s="75"/>
      <c r="P42" s="75"/>
      <c r="Q42" s="75"/>
      <c r="R42" s="6"/>
    </row>
    <row r="43" spans="2:33" ht="6" customHeight="1" x14ac:dyDescent="0.3">
      <c r="B43" s="4"/>
      <c r="C43" s="75"/>
      <c r="D43" s="75"/>
      <c r="E43" s="37"/>
      <c r="F43" s="402"/>
      <c r="G43" s="402"/>
      <c r="H43" s="402"/>
      <c r="I43" s="402"/>
      <c r="J43" s="402"/>
      <c r="K43" s="74"/>
      <c r="L43" s="118"/>
      <c r="M43" s="75"/>
      <c r="N43" s="75"/>
      <c r="O43" s="75"/>
      <c r="P43" s="75"/>
      <c r="Q43" s="75"/>
      <c r="R43" s="6"/>
    </row>
    <row r="44" spans="2:33" ht="3" customHeight="1" thickBot="1" x14ac:dyDescent="0.35">
      <c r="B44" s="7"/>
      <c r="C44" s="105"/>
      <c r="D44" s="105"/>
      <c r="E44" s="113"/>
      <c r="F44" s="188"/>
      <c r="G44" s="188"/>
      <c r="H44" s="188"/>
      <c r="I44" s="188"/>
      <c r="J44" s="188"/>
      <c r="K44" s="105"/>
      <c r="L44" s="105"/>
      <c r="M44" s="105"/>
      <c r="N44" s="105"/>
      <c r="O44" s="105"/>
      <c r="P44" s="105"/>
      <c r="Q44" s="105"/>
      <c r="R44" s="9"/>
    </row>
  </sheetData>
  <sheetProtection algorithmName="SHA-512" hashValue="YmZhLUb+8MwP5kQPHL1JxMIByrNL1g3lYowkuuosLt9z48Bog1AtmBmiCixzgWig4QBQmeLNQbfQjIqcY4di/Q==" saltValue="S5dCbHABUUlJs19DkhHzLg==" spinCount="100000" sheet="1" objects="1" scenarios="1" selectLockedCells="1"/>
  <mergeCells count="34">
    <mergeCell ref="F3:M3"/>
    <mergeCell ref="F18:J18"/>
    <mergeCell ref="F19:J19"/>
    <mergeCell ref="F8:J8"/>
    <mergeCell ref="E14:Q14"/>
    <mergeCell ref="E4:Q6"/>
    <mergeCell ref="F10:J10"/>
    <mergeCell ref="F11:J11"/>
    <mergeCell ref="F12:J12"/>
    <mergeCell ref="E15:J15"/>
    <mergeCell ref="E16:Q16"/>
    <mergeCell ref="AA18:AF18"/>
    <mergeCell ref="AA19:AB19"/>
    <mergeCell ref="AC19:AD19"/>
    <mergeCell ref="AE19:AF19"/>
    <mergeCell ref="F33:J33"/>
    <mergeCell ref="F24:J24"/>
    <mergeCell ref="F20:J20"/>
    <mergeCell ref="F42:J42"/>
    <mergeCell ref="F43:J43"/>
    <mergeCell ref="F36:J37"/>
    <mergeCell ref="F35:J35"/>
    <mergeCell ref="F21:J21"/>
    <mergeCell ref="F34:J34"/>
    <mergeCell ref="F23:J23"/>
    <mergeCell ref="F25:J25"/>
    <mergeCell ref="F26:J26"/>
    <mergeCell ref="F27:J27"/>
    <mergeCell ref="F22:J22"/>
    <mergeCell ref="F29:J29"/>
    <mergeCell ref="F30:J30"/>
    <mergeCell ref="F32:J32"/>
    <mergeCell ref="F28:J28"/>
    <mergeCell ref="F31:J31"/>
  </mergeCells>
  <dataValidations count="3">
    <dataValidation type="list" allowBlank="1" showInputMessage="1" showErrorMessage="1" sqref="K10" xr:uid="{95DBBD21-A5BD-40D8-A813-6FA56B6CAA4D}">
      <formula1>"Freely draining, Impermeable - drained for arable, Impermeable - drained for arable and grassland"</formula1>
    </dataValidation>
    <dataValidation type="list" allowBlank="1" showInputMessage="1" showErrorMessage="1" sqref="K12" xr:uid="{36182CDC-1F11-44E7-B938-1867BB4F7740}">
      <formula1>"Yes,No"</formula1>
    </dataValidation>
    <dataValidation type="list" allowBlank="1" showInputMessage="1" showErrorMessage="1" sqref="K11" xr:uid="{C07C9429-C9B8-4BCE-ACD8-341CA34A0F63}">
      <formula1>"600-625, 625-650, 650-675, 675-700, 700-750, 750-800, 800-850, 850-900"</formula1>
    </dataValidation>
  </dataValidations>
  <hyperlinks>
    <hyperlink ref="E14:M14" location="Help!C98" display="Note: Identify the soil drainage type from the Viewer, and use the criteria table in the Help tab to identify if the soil is either permeable or impermeable" xr:uid="{CF9C6CF2-1BEE-4CA2-BC81-A07A7035BCBA}"/>
    <hyperlink ref="E14:Q14" location="Introduction!C105" display="Note: Use the criteria table in the Help tab to identify if the soil type" xr:uid="{B85ACFA4-B4A4-46C9-B8B2-91237C755DB7}"/>
    <hyperlink ref="E15:J15" location="Rainfall!A1" display="Note: Rainfall can be determined using the Rainfall tab" xr:uid="{36F4FBD2-6C38-44AB-B26E-C898CCED4F7D}"/>
    <hyperlink ref="E16:Q16" location="Introduction!A1" display="Note: Use the Link in the introduction tab to find out whether the development is in a Nitrate Vulnerable Zone (NVZ)" xr:uid="{E7AAC51B-6170-4167-A8FF-9C5FE52FABAA}"/>
  </hyperlinks>
  <pageMargins left="0.70866141732283472" right="0.70866141732283472" top="0.74803149606299213" bottom="0.74803149606299213" header="0.31496062992125984" footer="0.31496062992125984"/>
  <pageSetup paperSize="9" scale="78" orientation="portrait" r:id="rId1"/>
  <headerFooter>
    <oddHeader>&amp;LPhosphate Budget Calculator&amp;CStage 2&amp;R&amp;"Calibri"&amp;10&amp;KFF8C00Information Classification: CONTROLLED&amp;1#</oddHeader>
    <oddFooter>&amp;LVersion 1.0&amp;R&amp;D</oddFooter>
  </headerFooter>
  <customProperties>
    <customPr name="SSC_SHEET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16C26-AF18-4444-BA7E-03F79DCDA09D}">
  <sheetPr>
    <tabColor theme="9" tint="0.79998168889431442"/>
    <pageSetUpPr fitToPage="1"/>
  </sheetPr>
  <dimension ref="B1:Z37"/>
  <sheetViews>
    <sheetView topLeftCell="A3" zoomScaleNormal="100" workbookViewId="0">
      <selection activeCell="K10" sqref="K10"/>
    </sheetView>
  </sheetViews>
  <sheetFormatPr defaultRowHeight="12.5" x14ac:dyDescent="0.25"/>
  <cols>
    <col min="2" max="3" width="0.81640625" customWidth="1"/>
    <col min="4" max="4" width="2.26953125" customWidth="1"/>
    <col min="5" max="5" width="8.26953125" customWidth="1"/>
    <col min="9" max="9" width="12.26953125" customWidth="1"/>
    <col min="10" max="10" width="12.1796875" customWidth="1"/>
    <col min="11" max="11" width="9.1796875" customWidth="1"/>
    <col min="12" max="12" width="10.7265625" customWidth="1"/>
    <col min="13" max="13" width="5.453125" customWidth="1"/>
    <col min="14" max="14" width="0.81640625" customWidth="1"/>
  </cols>
  <sheetData>
    <row r="1" spans="2:26" ht="13" thickBot="1" x14ac:dyDescent="0.3"/>
    <row r="2" spans="2:26" ht="3.65" customHeight="1" x14ac:dyDescent="0.25">
      <c r="B2" s="1"/>
      <c r="C2" s="2"/>
      <c r="D2" s="2"/>
      <c r="E2" s="2"/>
      <c r="F2" s="2"/>
      <c r="G2" s="2"/>
      <c r="H2" s="2"/>
      <c r="I2" s="2"/>
      <c r="J2" s="2"/>
      <c r="K2" s="2"/>
      <c r="L2" s="2"/>
      <c r="M2" s="2"/>
      <c r="N2" s="3"/>
    </row>
    <row r="3" spans="2:26" ht="28.5" customHeight="1" x14ac:dyDescent="0.3">
      <c r="B3" s="82"/>
      <c r="C3" s="39"/>
      <c r="D3" s="40"/>
      <c r="E3" s="285" t="s">
        <v>21</v>
      </c>
      <c r="F3" s="411"/>
      <c r="G3" s="411"/>
      <c r="H3" s="411"/>
      <c r="I3" s="411"/>
      <c r="J3" s="411"/>
      <c r="K3" s="411"/>
      <c r="L3" s="411"/>
      <c r="M3" s="411"/>
      <c r="N3" s="6"/>
    </row>
    <row r="4" spans="2:26" ht="12.65" customHeight="1" x14ac:dyDescent="0.3">
      <c r="B4" s="82"/>
      <c r="C4" s="109"/>
      <c r="D4" s="294"/>
      <c r="E4" s="405" t="s">
        <v>221</v>
      </c>
      <c r="F4" s="405"/>
      <c r="G4" s="405"/>
      <c r="H4" s="405"/>
      <c r="I4" s="405"/>
      <c r="J4" s="405"/>
      <c r="K4" s="405"/>
      <c r="L4" s="405"/>
      <c r="M4" s="405"/>
      <c r="N4" s="6"/>
    </row>
    <row r="5" spans="2:26" ht="13" x14ac:dyDescent="0.3">
      <c r="B5" s="82"/>
      <c r="C5" s="109"/>
      <c r="D5" s="294"/>
      <c r="E5" s="405"/>
      <c r="F5" s="405"/>
      <c r="G5" s="405"/>
      <c r="H5" s="405"/>
      <c r="I5" s="405"/>
      <c r="J5" s="405"/>
      <c r="K5" s="405"/>
      <c r="L5" s="405"/>
      <c r="M5" s="405"/>
      <c r="N5" s="6"/>
    </row>
    <row r="6" spans="2:26" ht="23.5" customHeight="1" x14ac:dyDescent="0.3">
      <c r="B6" s="82"/>
      <c r="C6" s="75"/>
      <c r="D6" s="37"/>
      <c r="E6" s="405"/>
      <c r="F6" s="405"/>
      <c r="G6" s="405"/>
      <c r="H6" s="405"/>
      <c r="I6" s="405"/>
      <c r="J6" s="405"/>
      <c r="K6" s="405"/>
      <c r="L6" s="405"/>
      <c r="M6" s="405"/>
      <c r="N6" s="6"/>
    </row>
    <row r="7" spans="2:26" ht="7" customHeight="1" x14ac:dyDescent="0.3">
      <c r="B7" s="82"/>
      <c r="C7" s="75"/>
      <c r="D7" s="101"/>
      <c r="E7" s="101"/>
      <c r="F7" s="101"/>
      <c r="G7" s="101"/>
      <c r="H7" s="101"/>
      <c r="I7" s="101"/>
      <c r="J7" s="101"/>
      <c r="K7" s="101"/>
      <c r="L7" s="101"/>
      <c r="M7" s="101"/>
      <c r="N7" s="6"/>
    </row>
    <row r="8" spans="2:26" ht="15.5" x14ac:dyDescent="0.3">
      <c r="B8" s="82"/>
      <c r="C8" s="75"/>
      <c r="D8" s="37"/>
      <c r="E8" s="295">
        <v>2</v>
      </c>
      <c r="F8" s="401" t="s">
        <v>222</v>
      </c>
      <c r="G8" s="401"/>
      <c r="H8" s="401"/>
      <c r="I8" s="401"/>
      <c r="J8" s="401"/>
      <c r="K8" s="303" t="s">
        <v>144</v>
      </c>
      <c r="L8" s="303" t="s">
        <v>145</v>
      </c>
      <c r="M8" s="37"/>
      <c r="N8" s="6"/>
    </row>
    <row r="9" spans="2:26" ht="12.65" customHeight="1" x14ac:dyDescent="0.3">
      <c r="B9" s="82"/>
      <c r="C9" s="75"/>
      <c r="D9" s="37"/>
      <c r="E9" s="85"/>
      <c r="F9" s="99"/>
      <c r="G9" s="37"/>
      <c r="H9" s="37"/>
      <c r="I9" s="37"/>
      <c r="J9" s="37"/>
      <c r="K9" s="303"/>
      <c r="L9" s="303"/>
      <c r="M9" s="37"/>
      <c r="N9" s="6"/>
    </row>
    <row r="10" spans="2:26" ht="14.15" customHeight="1" x14ac:dyDescent="0.3">
      <c r="B10" s="82"/>
      <c r="C10" s="75"/>
      <c r="D10" s="37"/>
      <c r="E10" s="85"/>
      <c r="F10" s="37" t="s">
        <v>223</v>
      </c>
      <c r="G10" s="37"/>
      <c r="H10" s="37"/>
      <c r="I10" s="37"/>
      <c r="J10" s="37"/>
      <c r="K10" s="168"/>
      <c r="L10" s="86" t="s">
        <v>212</v>
      </c>
      <c r="M10" s="37"/>
      <c r="N10" s="6"/>
    </row>
    <row r="11" spans="2:26" ht="13" customHeight="1" x14ac:dyDescent="0.3">
      <c r="B11" s="82"/>
      <c r="C11" s="75"/>
      <c r="D11" s="37"/>
      <c r="E11" s="85"/>
      <c r="F11" s="37" t="s">
        <v>224</v>
      </c>
      <c r="G11" s="37"/>
      <c r="H11" s="37"/>
      <c r="I11" s="37"/>
      <c r="J11" s="37"/>
      <c r="K11" s="168"/>
      <c r="L11" s="86" t="s">
        <v>212</v>
      </c>
      <c r="M11" s="37"/>
      <c r="N11" s="6"/>
    </row>
    <row r="12" spans="2:26" ht="15.65" customHeight="1" x14ac:dyDescent="0.3">
      <c r="B12" s="82"/>
      <c r="C12" s="75"/>
      <c r="D12" s="37"/>
      <c r="E12" s="85"/>
      <c r="F12" s="37" t="s">
        <v>225</v>
      </c>
      <c r="G12" s="37"/>
      <c r="H12" s="37"/>
      <c r="I12" s="37"/>
      <c r="J12" s="37"/>
      <c r="K12" s="168"/>
      <c r="L12" s="86" t="s">
        <v>212</v>
      </c>
      <c r="M12" s="37"/>
      <c r="N12" s="6"/>
    </row>
    <row r="13" spans="2:26" ht="15" customHeight="1" x14ac:dyDescent="0.3">
      <c r="B13" s="82"/>
      <c r="C13" s="75"/>
      <c r="D13" s="37"/>
      <c r="E13" s="37"/>
      <c r="F13" s="400" t="s">
        <v>226</v>
      </c>
      <c r="G13" s="400"/>
      <c r="H13" s="400"/>
      <c r="I13" s="400"/>
      <c r="J13" s="400"/>
      <c r="K13" s="168"/>
      <c r="L13" s="86" t="s">
        <v>212</v>
      </c>
      <c r="M13" s="37"/>
      <c r="N13" s="6"/>
    </row>
    <row r="14" spans="2:26" ht="15" customHeight="1" x14ac:dyDescent="0.3">
      <c r="B14" s="82"/>
      <c r="C14" s="75"/>
      <c r="D14" s="37"/>
      <c r="E14" s="37"/>
      <c r="F14" s="400" t="s">
        <v>227</v>
      </c>
      <c r="G14" s="400"/>
      <c r="H14" s="400"/>
      <c r="I14" s="400"/>
      <c r="J14" s="400"/>
      <c r="K14" s="168"/>
      <c r="L14" s="86" t="s">
        <v>212</v>
      </c>
      <c r="M14" s="37"/>
      <c r="N14" s="6"/>
      <c r="P14" s="13"/>
      <c r="Q14" s="13"/>
      <c r="Z14" s="13"/>
    </row>
    <row r="15" spans="2:26" ht="15" customHeight="1" x14ac:dyDescent="0.3">
      <c r="B15" s="82"/>
      <c r="C15" s="75"/>
      <c r="D15" s="37"/>
      <c r="E15" s="37"/>
      <c r="F15" s="400" t="s">
        <v>228</v>
      </c>
      <c r="G15" s="400"/>
      <c r="H15" s="400"/>
      <c r="I15" s="400"/>
      <c r="J15" s="400"/>
      <c r="K15" s="168"/>
      <c r="L15" s="86" t="s">
        <v>212</v>
      </c>
      <c r="M15" s="37"/>
      <c r="N15" s="6"/>
      <c r="P15" s="13"/>
      <c r="Q15" s="13"/>
    </row>
    <row r="16" spans="2:26" ht="15" customHeight="1" x14ac:dyDescent="0.3">
      <c r="B16" s="82"/>
      <c r="C16" s="75"/>
      <c r="D16" s="37"/>
      <c r="E16" s="37"/>
      <c r="F16" s="400" t="s">
        <v>216</v>
      </c>
      <c r="G16" s="400"/>
      <c r="H16" s="400"/>
      <c r="I16" s="400"/>
      <c r="J16" s="400"/>
      <c r="K16" s="168"/>
      <c r="L16" s="86" t="s">
        <v>212</v>
      </c>
      <c r="M16" s="37"/>
      <c r="N16" s="6"/>
      <c r="P16" s="13"/>
      <c r="Q16" s="13"/>
    </row>
    <row r="17" spans="2:17" ht="15" customHeight="1" x14ac:dyDescent="0.3">
      <c r="B17" s="82"/>
      <c r="C17" s="75"/>
      <c r="D17" s="37"/>
      <c r="E17" s="37"/>
      <c r="F17" s="400" t="s">
        <v>65</v>
      </c>
      <c r="G17" s="400"/>
      <c r="H17" s="400"/>
      <c r="I17" s="400"/>
      <c r="J17" s="400"/>
      <c r="K17" s="168"/>
      <c r="L17" s="86" t="s">
        <v>212</v>
      </c>
      <c r="M17" s="37"/>
      <c r="N17" s="6"/>
      <c r="P17" s="13"/>
      <c r="Q17" s="13"/>
    </row>
    <row r="18" spans="2:17" ht="15" customHeight="1" x14ac:dyDescent="0.3">
      <c r="B18" s="82"/>
      <c r="C18" s="75"/>
      <c r="D18" s="37"/>
      <c r="E18" s="37"/>
      <c r="F18" s="400" t="s">
        <v>69</v>
      </c>
      <c r="G18" s="400"/>
      <c r="H18" s="400"/>
      <c r="I18" s="400"/>
      <c r="J18" s="400"/>
      <c r="K18" s="168"/>
      <c r="L18" s="86" t="s">
        <v>212</v>
      </c>
      <c r="M18" s="37"/>
      <c r="N18" s="6"/>
      <c r="P18" s="13"/>
      <c r="Q18" s="13"/>
    </row>
    <row r="19" spans="2:17" ht="15" customHeight="1" x14ac:dyDescent="0.3">
      <c r="B19" s="82"/>
      <c r="C19" s="75"/>
      <c r="D19" s="37"/>
      <c r="E19" s="37"/>
      <c r="F19" s="400" t="s">
        <v>71</v>
      </c>
      <c r="G19" s="400"/>
      <c r="H19" s="400"/>
      <c r="I19" s="400"/>
      <c r="J19" s="400"/>
      <c r="K19" s="168"/>
      <c r="L19" s="86" t="s">
        <v>212</v>
      </c>
      <c r="M19" s="37"/>
      <c r="N19" s="6"/>
    </row>
    <row r="20" spans="2:17" ht="7" customHeight="1" x14ac:dyDescent="0.3">
      <c r="B20" s="82"/>
      <c r="C20" s="75"/>
      <c r="D20" s="37"/>
      <c r="E20" s="37"/>
      <c r="F20" s="37"/>
      <c r="G20" s="37"/>
      <c r="H20" s="37"/>
      <c r="I20" s="37"/>
      <c r="J20" s="37"/>
      <c r="K20" s="37"/>
      <c r="L20" s="37"/>
      <c r="M20" s="37"/>
      <c r="N20" s="6"/>
    </row>
    <row r="21" spans="2:17" ht="5.5" customHeight="1" x14ac:dyDescent="0.3">
      <c r="B21" s="82"/>
      <c r="C21" s="75"/>
      <c r="D21" s="97"/>
      <c r="E21" s="97"/>
      <c r="F21" s="97"/>
      <c r="G21" s="97"/>
      <c r="H21" s="97"/>
      <c r="I21" s="97"/>
      <c r="J21" s="97"/>
      <c r="K21" s="97"/>
      <c r="L21" s="97"/>
      <c r="M21" s="97"/>
      <c r="N21" s="6"/>
    </row>
    <row r="22" spans="2:17" ht="4" customHeight="1" x14ac:dyDescent="0.3">
      <c r="B22" s="82"/>
      <c r="C22" s="75"/>
      <c r="D22" s="37"/>
      <c r="E22" s="37"/>
      <c r="F22" s="37"/>
      <c r="G22" s="37"/>
      <c r="H22" s="37"/>
      <c r="I22" s="37"/>
      <c r="J22" s="37"/>
      <c r="K22" s="37"/>
      <c r="L22" s="37"/>
      <c r="M22" s="37"/>
      <c r="N22" s="6"/>
    </row>
    <row r="23" spans="2:17" ht="14.15" customHeight="1" x14ac:dyDescent="0.3">
      <c r="B23" s="82"/>
      <c r="C23" s="75"/>
      <c r="D23" s="37"/>
      <c r="E23" s="295">
        <v>3</v>
      </c>
      <c r="F23" s="401" t="s">
        <v>229</v>
      </c>
      <c r="G23" s="401"/>
      <c r="H23" s="401"/>
      <c r="I23" s="401"/>
      <c r="J23" s="401"/>
      <c r="K23" s="37"/>
      <c r="L23" s="37"/>
      <c r="M23" s="37"/>
      <c r="N23" s="6"/>
    </row>
    <row r="24" spans="2:17" ht="4" customHeight="1" x14ac:dyDescent="0.3">
      <c r="B24" s="82"/>
      <c r="C24" s="75"/>
      <c r="D24" s="37"/>
      <c r="E24" s="85"/>
      <c r="F24" s="99"/>
      <c r="G24" s="37"/>
      <c r="H24" s="37"/>
      <c r="I24" s="37"/>
      <c r="J24" s="37"/>
      <c r="K24" s="37"/>
      <c r="L24" s="37"/>
      <c r="M24" s="37"/>
      <c r="N24" s="6"/>
    </row>
    <row r="25" spans="2:17" ht="11.15" customHeight="1" x14ac:dyDescent="0.3">
      <c r="B25" s="82"/>
      <c r="C25" s="75"/>
      <c r="D25" s="37"/>
      <c r="E25" s="37"/>
      <c r="F25" s="400" t="s">
        <v>230</v>
      </c>
      <c r="G25" s="400"/>
      <c r="H25" s="400"/>
      <c r="I25" s="400"/>
      <c r="J25" s="400"/>
      <c r="K25" s="306"/>
      <c r="L25" s="86" t="s">
        <v>212</v>
      </c>
      <c r="M25" s="37"/>
      <c r="N25" s="6"/>
    </row>
    <row r="26" spans="2:17" ht="13.5" customHeight="1" x14ac:dyDescent="0.3">
      <c r="B26" s="82"/>
      <c r="C26" s="75"/>
      <c r="D26" s="37"/>
      <c r="E26" s="37"/>
      <c r="F26" s="400" t="s">
        <v>231</v>
      </c>
      <c r="G26" s="400"/>
      <c r="H26" s="400"/>
      <c r="I26" s="400"/>
      <c r="J26" s="400"/>
      <c r="K26" s="306"/>
      <c r="L26" s="86" t="s">
        <v>232</v>
      </c>
      <c r="M26" s="37"/>
      <c r="N26" s="6"/>
    </row>
    <row r="27" spans="2:17" ht="22" customHeight="1" x14ac:dyDescent="0.3">
      <c r="B27" s="82"/>
      <c r="C27" s="75"/>
      <c r="D27" s="37"/>
      <c r="E27" s="405" t="s">
        <v>233</v>
      </c>
      <c r="F27" s="405"/>
      <c r="G27" s="405"/>
      <c r="H27" s="405"/>
      <c r="I27" s="405"/>
      <c r="J27" s="405"/>
      <c r="K27" s="405"/>
      <c r="L27" s="405"/>
      <c r="M27" s="405"/>
      <c r="N27" s="6"/>
    </row>
    <row r="28" spans="2:17" ht="13.5" customHeight="1" x14ac:dyDescent="0.3">
      <c r="B28" s="82"/>
      <c r="C28" s="75"/>
      <c r="D28" s="37"/>
      <c r="E28" s="292"/>
      <c r="F28" s="292"/>
      <c r="G28" s="292"/>
      <c r="H28" s="292"/>
      <c r="I28" s="292"/>
      <c r="J28" s="292"/>
      <c r="K28" s="292"/>
      <c r="L28" s="292"/>
      <c r="M28" s="292"/>
      <c r="N28" s="6"/>
    </row>
    <row r="29" spans="2:17" ht="13.5" customHeight="1" x14ac:dyDescent="0.3">
      <c r="B29" s="82"/>
      <c r="C29" s="75"/>
      <c r="D29" s="37"/>
      <c r="E29" s="37"/>
      <c r="F29" s="402" t="s">
        <v>234</v>
      </c>
      <c r="G29" s="402"/>
      <c r="H29" s="402"/>
      <c r="I29" s="402"/>
      <c r="J29" s="402"/>
      <c r="K29" s="112">
        <f>SUM(K10:K19)+K25</f>
        <v>0</v>
      </c>
      <c r="L29" s="90" t="s">
        <v>212</v>
      </c>
      <c r="M29" s="37"/>
      <c r="N29" s="6"/>
    </row>
    <row r="30" spans="2:17" ht="36.75" customHeight="1" x14ac:dyDescent="0.3">
      <c r="B30" s="82"/>
      <c r="C30" s="75"/>
      <c r="D30" s="37"/>
      <c r="E30" s="405" t="s">
        <v>235</v>
      </c>
      <c r="F30" s="405"/>
      <c r="G30" s="405"/>
      <c r="H30" s="405"/>
      <c r="I30" s="405"/>
      <c r="J30" s="405"/>
      <c r="K30" s="405"/>
      <c r="L30" s="405"/>
      <c r="M30" s="405"/>
      <c r="N30" s="6"/>
    </row>
    <row r="31" spans="2:17" ht="5.5" customHeight="1" x14ac:dyDescent="0.3">
      <c r="B31" s="82"/>
      <c r="C31" s="75"/>
      <c r="D31" s="37"/>
      <c r="E31" s="37"/>
      <c r="F31" s="37"/>
      <c r="G31" s="37"/>
      <c r="H31" s="37"/>
      <c r="I31" s="37"/>
      <c r="J31" s="37"/>
      <c r="K31" s="37"/>
      <c r="L31" s="37"/>
      <c r="M31" s="37"/>
      <c r="N31" s="6"/>
    </row>
    <row r="32" spans="2:17" ht="13" x14ac:dyDescent="0.3">
      <c r="B32" s="82"/>
      <c r="C32" s="75"/>
      <c r="D32" s="101"/>
      <c r="E32" s="101"/>
      <c r="F32" s="101"/>
      <c r="G32" s="101"/>
      <c r="H32" s="101"/>
      <c r="I32" s="101"/>
      <c r="J32" s="101"/>
      <c r="K32" s="101"/>
      <c r="L32" s="101"/>
      <c r="M32" s="101"/>
      <c r="N32" s="6"/>
    </row>
    <row r="33" spans="2:14" ht="15.5" x14ac:dyDescent="0.3">
      <c r="B33" s="82"/>
      <c r="C33" s="75"/>
      <c r="D33" s="37"/>
      <c r="E33" s="295">
        <v>4</v>
      </c>
      <c r="F33" s="401" t="s">
        <v>236</v>
      </c>
      <c r="G33" s="401"/>
      <c r="H33" s="401"/>
      <c r="I33" s="401"/>
      <c r="J33" s="401"/>
      <c r="K33" s="303" t="s">
        <v>144</v>
      </c>
      <c r="L33" s="303" t="s">
        <v>145</v>
      </c>
      <c r="M33" s="37"/>
      <c r="N33" s="6"/>
    </row>
    <row r="34" spans="2:14" ht="4.5" customHeight="1" x14ac:dyDescent="0.3">
      <c r="B34" s="82"/>
      <c r="C34" s="75"/>
      <c r="D34" s="37"/>
      <c r="E34" s="85"/>
      <c r="F34" s="401"/>
      <c r="G34" s="401"/>
      <c r="H34" s="401"/>
      <c r="I34" s="401"/>
      <c r="J34" s="401"/>
      <c r="K34" s="303"/>
      <c r="L34" s="303"/>
      <c r="M34" s="37"/>
      <c r="N34" s="6"/>
    </row>
    <row r="35" spans="2:14" ht="15.65" customHeight="1" x14ac:dyDescent="0.3">
      <c r="B35" s="82"/>
      <c r="C35" s="75"/>
      <c r="D35" s="37"/>
      <c r="E35" s="37"/>
      <c r="F35" s="402" t="s">
        <v>220</v>
      </c>
      <c r="G35" s="402"/>
      <c r="H35" s="402"/>
      <c r="I35" s="402"/>
      <c r="J35" s="402"/>
      <c r="K35" s="200">
        <f>($K10*IF('Stage 2'!$K$11="600-625",'Data Tables'!AE4,IF('Stage 2'!$K$11="625-650",'Data Tables'!AE5,IF('Stage 2'!$K$11="650-675",'Data Tables'!AE6,IF('Stage 2'!$K$11="675-700",'Data Tables'!AE7,IF('Stage 2'!$K$11="700-750",'Data Tables'!AE8,IF('Stage 2'!$K$11="750-800",'Data Tables'!AE9,IF('Stage 2'!$K$11="800-850",'Data Tables'!AE10,'Data Tables'!AE11))))))))+($K11*IF('Stage 2'!$K$11="600-625",'Data Tables'!AF4,IF('Stage 2'!$K$11="625-650",'Data Tables'!AF5,IF('Stage 2'!$K$11="650-675",'Data Tables'!AF6,IF('Stage 2'!$K$11="675-700",'Data Tables'!AF7,IF('Stage 2'!$K$11="700-750",'Data Tables'!AF8,IF('Stage 2'!$K$11="750-800",'Data Tables'!AF9,IF('Stage 2'!$K$11="800-850",'Data Tables'!AF10,'Data Tables'!AF11))))))))+($K12*IF('Stage 2'!$K$11="600-625",'Data Tables'!AG4,IF('Stage 2'!$K$11="625-650",'Data Tables'!AG5,IF('Stage 2'!$K$11="650-675",'Data Tables'!AG6,IF('Stage 2'!$K$11="675-700",'Data Tables'!AG7,IF('Stage 2'!$K$11="700-750",'Data Tables'!AG8,IF('Stage 2'!$K$11="750-800",'Data Tables'!AG9,IF('Stage 2'!$K$11="800-850",'Data Tables'!AG10,'Data Tables'!AG11))))))))+($K13*IF('Stage 2'!$K$11="600-625",'Data Tables'!AH4,IF('Stage 2'!$K$11="625-650",'Data Tables'!AH5,IF('Stage 2'!$K$11="650-675",'Data Tables'!AH6,IF('Stage 2'!$K$11="675-700",'Data Tables'!AH7,IF('Stage 2'!$K$11="700-750",'Data Tables'!AH8,IF('Stage 2'!$K$11="750-800",'Data Tables'!AH9,IF('Stage 2'!$K$11="800-850",'Data Tables'!AH10,'Data Tables'!AH11))))))))+($K14*IF('Stage 2'!$K$11="600-625",'Data Tables'!AI4,IF('Stage 2'!$K$11="625-650",'Data Tables'!AI5,IF('Stage 2'!$K$11="650-675",'Data Tables'!AI6,IF('Stage 2'!$K$11="675-700",'Data Tables'!AI7,IF('Stage 2'!$K$11="700-750",'Data Tables'!AI8,IF('Stage 2'!$K$11="750-800",'Data Tables'!AI9,IF('Stage 2'!$K$11="800-850",'Data Tables'!AI10,'Data Tables'!AI11))))))))+($K15*(IF('Stage 2'!$K$11="600-625",'Data Tables'!O13,IF('Stage 2'!$K$11="625-650",'Data Tables'!O13,IF('Stage 2'!$K$11="650-675",'Data Tables'!O13,IF('Stage 2'!$K$11="675-700",'Data Tables'!O13,IF('Stage 2'!$K$11="700-750",'Data Tables'!U13,IF('Stage 2'!$K$11="750-800",'Data Tables'!U13,IF('Stage 2'!$K$11="800-850",'Data Tables'!U13,'Data Tables'!U13)))))))))+(K17*'Data Tables'!K6)+(K16*'Data Tables'!K7)+(K18*'Data Tables'!K8)+(K19*'Data Tables'!K9)+(K25*-(K26))</f>
        <v>0</v>
      </c>
      <c r="L35" s="90" t="s">
        <v>192</v>
      </c>
      <c r="M35" s="37"/>
      <c r="N35" s="6"/>
    </row>
    <row r="36" spans="2:14" ht="3.65" customHeight="1" x14ac:dyDescent="0.3">
      <c r="B36" s="82"/>
      <c r="C36" s="75"/>
      <c r="D36" s="37"/>
      <c r="E36" s="37"/>
      <c r="F36" s="402"/>
      <c r="G36" s="402"/>
      <c r="H36" s="402"/>
      <c r="I36" s="402"/>
      <c r="J36" s="402"/>
      <c r="K36" s="37"/>
      <c r="L36" s="37"/>
      <c r="M36" s="37"/>
      <c r="N36" s="6"/>
    </row>
    <row r="37" spans="2:14" ht="4.5" customHeight="1" thickBot="1" x14ac:dyDescent="0.3">
      <c r="B37" s="7"/>
      <c r="C37" s="8"/>
      <c r="D37" s="8"/>
      <c r="E37" s="8"/>
      <c r="F37" s="8"/>
      <c r="G37" s="8"/>
      <c r="H37" s="8"/>
      <c r="I37" s="8"/>
      <c r="J37" s="8"/>
      <c r="K37" s="8"/>
      <c r="L37" s="8"/>
      <c r="M37" s="8"/>
      <c r="N37" s="9"/>
    </row>
  </sheetData>
  <sheetProtection algorithmName="SHA-512" hashValue="/pOseao0t6jalK0Kg4Zuq2ZSamG9jt3YNvobCX2FuHHAaH0qWQnYh9vBojeGizdT1tUEw+zEzNc08D49Dv4QiA==" saltValue="3eoQNf12vG4+q1FP5teISw==" spinCount="100000" sheet="1" objects="1" scenarios="1" selectLockedCells="1"/>
  <mergeCells count="19">
    <mergeCell ref="F3:M3"/>
    <mergeCell ref="E4:M6"/>
    <mergeCell ref="F13:J13"/>
    <mergeCell ref="F16:J16"/>
    <mergeCell ref="F8:J8"/>
    <mergeCell ref="F14:J14"/>
    <mergeCell ref="F15:J15"/>
    <mergeCell ref="F36:J36"/>
    <mergeCell ref="F17:J17"/>
    <mergeCell ref="F18:J18"/>
    <mergeCell ref="F19:J19"/>
    <mergeCell ref="F29:J29"/>
    <mergeCell ref="F33:J34"/>
    <mergeCell ref="F35:J35"/>
    <mergeCell ref="F23:J23"/>
    <mergeCell ref="F25:J25"/>
    <mergeCell ref="F26:J26"/>
    <mergeCell ref="E27:M27"/>
    <mergeCell ref="E30:M30"/>
  </mergeCells>
  <pageMargins left="0.70866141732283472" right="0.70866141732283472" top="0.74803149606299213" bottom="0.74803149606299213" header="0.31496062992125984" footer="0.31496062992125984"/>
  <pageSetup paperSize="9" scale="98" orientation="portrait" r:id="rId1"/>
  <headerFooter>
    <oddHeader>&amp;LPhosphate Budget Calculator&amp;CStage 3&amp;R&amp;"Calibri"&amp;10&amp;KFF8C00Information Classification: CONTROLLED&amp;1#</oddHeader>
    <oddFooter>&amp;LVersion 1.0&amp;R&amp;D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00000000-000E-0000-0500-000001000000}">
            <xm:f>$K$29&gt;'Stage 2'!$K$37</xm:f>
            <x14:dxf>
              <fill>
                <patternFill>
                  <bgColor rgb="FFFF0000"/>
                </patternFill>
              </fill>
            </x14:dxf>
          </x14:cfRule>
          <x14:cfRule type="expression" priority="2" id="{00000000-000E-0000-0500-000002000000}">
            <xm:f>$K$29='Stage 2'!$K$37</xm:f>
            <x14:dxf>
              <fill>
                <patternFill>
                  <bgColor theme="7" tint="0.79998168889431442"/>
                </patternFill>
              </fill>
            </x14:dxf>
          </x14:cfRule>
          <x14:cfRule type="expression" priority="3" id="{00000000-000E-0000-0500-000003000000}">
            <xm:f>$K$29&lt;'Stage 2'!$K$37</xm:f>
            <x14:dxf>
              <fill>
                <patternFill>
                  <bgColor rgb="FFFF0000"/>
                </patternFill>
              </fill>
            </x14:dxf>
          </x14:cfRule>
          <xm:sqref>K29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A4D9-ABE7-4CB5-A613-49EAF5B63F5C}">
  <sheetPr>
    <tabColor theme="9" tint="0.79998168889431442"/>
    <pageSetUpPr fitToPage="1"/>
  </sheetPr>
  <dimension ref="B1:W48"/>
  <sheetViews>
    <sheetView zoomScaleNormal="100" workbookViewId="0">
      <selection activeCell="R37" sqref="R37"/>
    </sheetView>
  </sheetViews>
  <sheetFormatPr defaultRowHeight="12.5" x14ac:dyDescent="0.25"/>
  <cols>
    <col min="2" max="3" width="0.81640625" customWidth="1"/>
    <col min="4" max="4" width="2.26953125" customWidth="1"/>
    <col min="5" max="5" width="9.54296875" customWidth="1"/>
    <col min="9" max="9" width="12.26953125" customWidth="1"/>
    <col min="10" max="10" width="34.1796875" customWidth="1"/>
    <col min="11" max="11" width="10.81640625" customWidth="1"/>
    <col min="12" max="12" width="1.1796875" customWidth="1"/>
    <col min="13" max="13" width="11.1796875" customWidth="1"/>
    <col min="14" max="14" width="1.453125" customWidth="1"/>
    <col min="15" max="15" width="11.54296875" customWidth="1"/>
    <col min="16" max="16" width="8.26953125" customWidth="1"/>
    <col min="17" max="17" width="3.7265625" customWidth="1"/>
    <col min="18" max="18" width="27.1796875" customWidth="1"/>
    <col min="19" max="19" width="15" customWidth="1"/>
    <col min="20" max="20" width="1.81640625" customWidth="1"/>
    <col min="21" max="21" width="0.81640625" customWidth="1"/>
    <col min="22" max="22" width="4.453125" customWidth="1"/>
    <col min="23" max="23" width="9.1796875" hidden="1" customWidth="1"/>
    <col min="24" max="24" width="0" hidden="1" customWidth="1"/>
  </cols>
  <sheetData>
    <row r="1" spans="2:21" ht="13" thickBot="1" x14ac:dyDescent="0.3"/>
    <row r="2" spans="2:21" ht="3.65" customHeight="1" x14ac:dyDescent="0.25">
      <c r="B2" s="1"/>
      <c r="C2" s="2"/>
      <c r="D2" s="2"/>
      <c r="E2" s="2"/>
      <c r="F2" s="2"/>
      <c r="G2" s="2"/>
      <c r="H2" s="2"/>
      <c r="I2" s="2"/>
      <c r="J2" s="2"/>
      <c r="K2" s="2"/>
      <c r="L2" s="2"/>
      <c r="M2" s="2"/>
      <c r="N2" s="2"/>
      <c r="O2" s="2"/>
      <c r="P2" s="2"/>
      <c r="Q2" s="2"/>
      <c r="R2" s="2"/>
      <c r="S2" s="2"/>
      <c r="T2" s="2"/>
      <c r="U2" s="3"/>
    </row>
    <row r="3" spans="2:21" ht="28.5" customHeight="1" x14ac:dyDescent="0.3">
      <c r="B3" s="4"/>
      <c r="C3" s="39"/>
      <c r="D3" s="108"/>
      <c r="E3" s="285" t="s">
        <v>23</v>
      </c>
      <c r="F3" s="411" t="s">
        <v>237</v>
      </c>
      <c r="G3" s="411"/>
      <c r="H3" s="411"/>
      <c r="I3" s="411"/>
      <c r="J3" s="411"/>
      <c r="K3" s="411"/>
      <c r="L3" s="411"/>
      <c r="M3" s="411"/>
      <c r="N3" s="411"/>
      <c r="O3" s="411"/>
      <c r="P3" s="411"/>
      <c r="Q3" s="411"/>
      <c r="R3" s="411"/>
      <c r="S3" s="411"/>
      <c r="T3" s="411"/>
      <c r="U3" s="6"/>
    </row>
    <row r="4" spans="2:21" ht="2.15" customHeight="1" x14ac:dyDescent="0.3">
      <c r="B4" s="4"/>
      <c r="C4" s="109"/>
      <c r="D4" s="109"/>
      <c r="E4" s="424" t="s">
        <v>238</v>
      </c>
      <c r="F4" s="424"/>
      <c r="G4" s="424"/>
      <c r="H4" s="424"/>
      <c r="I4" s="424"/>
      <c r="J4" s="424"/>
      <c r="K4" s="424"/>
      <c r="L4" s="424"/>
      <c r="M4" s="424"/>
      <c r="N4" s="424"/>
      <c r="O4" s="424"/>
      <c r="P4" s="424"/>
      <c r="Q4" s="424"/>
      <c r="R4" s="424"/>
      <c r="S4" s="424"/>
      <c r="T4" s="424"/>
      <c r="U4" s="6"/>
    </row>
    <row r="5" spans="2:21" ht="13" x14ac:dyDescent="0.3">
      <c r="B5" s="4"/>
      <c r="C5" s="109"/>
      <c r="D5" s="109"/>
      <c r="E5" s="424"/>
      <c r="F5" s="424"/>
      <c r="G5" s="424"/>
      <c r="H5" s="424"/>
      <c r="I5" s="424"/>
      <c r="J5" s="424"/>
      <c r="K5" s="424"/>
      <c r="L5" s="424"/>
      <c r="M5" s="424"/>
      <c r="N5" s="424"/>
      <c r="O5" s="424"/>
      <c r="P5" s="424"/>
      <c r="Q5" s="424"/>
      <c r="R5" s="424"/>
      <c r="S5" s="424"/>
      <c r="T5" s="424"/>
      <c r="U5" s="6"/>
    </row>
    <row r="6" spans="2:21" ht="24.65" customHeight="1" x14ac:dyDescent="0.3">
      <c r="B6" s="4"/>
      <c r="C6" s="75"/>
      <c r="D6" s="75"/>
      <c r="E6" s="424"/>
      <c r="F6" s="424"/>
      <c r="G6" s="424"/>
      <c r="H6" s="424"/>
      <c r="I6" s="424"/>
      <c r="J6" s="424"/>
      <c r="K6" s="424"/>
      <c r="L6" s="424"/>
      <c r="M6" s="424"/>
      <c r="N6" s="424"/>
      <c r="O6" s="424"/>
      <c r="P6" s="424"/>
      <c r="Q6" s="424"/>
      <c r="R6" s="424"/>
      <c r="S6" s="424"/>
      <c r="T6" s="424"/>
      <c r="U6" s="6"/>
    </row>
    <row r="7" spans="2:21" ht="11.15" customHeight="1" x14ac:dyDescent="0.3">
      <c r="B7" s="4"/>
      <c r="C7" s="75"/>
      <c r="D7" s="107"/>
      <c r="E7" s="110"/>
      <c r="F7" s="110"/>
      <c r="G7" s="110"/>
      <c r="H7" s="110"/>
      <c r="I7" s="110"/>
      <c r="J7" s="110"/>
      <c r="K7" s="110"/>
      <c r="L7" s="110"/>
      <c r="M7" s="110"/>
      <c r="N7" s="110"/>
      <c r="O7" s="110"/>
      <c r="P7" s="110"/>
      <c r="Q7" s="110"/>
      <c r="R7" s="110"/>
      <c r="S7" s="110"/>
      <c r="T7" s="110"/>
      <c r="U7" s="6"/>
    </row>
    <row r="8" spans="2:21" ht="11.15" customHeight="1" x14ac:dyDescent="0.3">
      <c r="B8" s="4"/>
      <c r="C8" s="75"/>
      <c r="D8" s="75"/>
      <c r="E8" s="292"/>
      <c r="F8" s="292"/>
      <c r="G8" s="292"/>
      <c r="H8" s="292"/>
      <c r="I8" s="292"/>
      <c r="J8" s="292"/>
      <c r="K8" s="114" t="s">
        <v>195</v>
      </c>
      <c r="L8" s="114"/>
      <c r="M8" s="114" t="str">
        <f>IF(ISNUMBER('Stage 1'!L46),"Post 2025","")</f>
        <v>Post 2025</v>
      </c>
      <c r="N8" s="292"/>
      <c r="O8" s="296" t="s">
        <v>196</v>
      </c>
      <c r="P8" s="292"/>
      <c r="Q8" s="292"/>
      <c r="R8" s="425" t="s">
        <v>239</v>
      </c>
      <c r="S8" s="425"/>
      <c r="T8" s="292"/>
      <c r="U8" s="6"/>
    </row>
    <row r="9" spans="2:21" ht="11.15" customHeight="1" x14ac:dyDescent="0.3">
      <c r="B9" s="4"/>
      <c r="C9" s="75"/>
      <c r="D9" s="75"/>
      <c r="E9" s="292"/>
      <c r="F9" s="292"/>
      <c r="G9" s="292"/>
      <c r="H9" s="292"/>
      <c r="I9" s="292"/>
      <c r="J9" s="292"/>
      <c r="K9" s="292"/>
      <c r="L9" s="292"/>
      <c r="M9" s="292"/>
      <c r="N9" s="292"/>
      <c r="O9" s="292"/>
      <c r="P9" s="292"/>
      <c r="Q9" s="292"/>
      <c r="R9" s="328" t="s">
        <v>240</v>
      </c>
      <c r="S9" s="329">
        <f>'Stage 1'!W11+'Stage 1'!W14+'Stage 1'!W17</f>
        <v>0</v>
      </c>
      <c r="T9" s="292"/>
      <c r="U9" s="6"/>
    </row>
    <row r="10" spans="2:21" ht="30.65" customHeight="1" x14ac:dyDescent="0.35">
      <c r="B10" s="4"/>
      <c r="C10" s="111"/>
      <c r="D10" s="111"/>
      <c r="E10" s="295">
        <v>1</v>
      </c>
      <c r="F10" s="401" t="s">
        <v>241</v>
      </c>
      <c r="G10" s="401"/>
      <c r="H10" s="401"/>
      <c r="I10" s="401"/>
      <c r="J10" s="401"/>
      <c r="K10" s="303" t="s">
        <v>144</v>
      </c>
      <c r="L10" s="303"/>
      <c r="M10" s="303" t="str">
        <f>IF(ISNUMBER('Stage 1'!L46),"Value","")</f>
        <v>Value</v>
      </c>
      <c r="N10" s="303"/>
      <c r="O10" s="303" t="s">
        <v>144</v>
      </c>
      <c r="P10" s="303" t="s">
        <v>145</v>
      </c>
      <c r="Q10" s="303"/>
      <c r="R10" s="328" t="str">
        <f>IF('Stage 1'!O34="Yes","WwTW location","Onsite treatment plant")</f>
        <v>WwTW location</v>
      </c>
      <c r="S10" s="330" t="str">
        <f>IF('Stage 1'!O34="Yes",'Stage 1'!K44,'Stage 1'!AE44)</f>
        <v>Chieveley</v>
      </c>
      <c r="T10" s="37"/>
      <c r="U10" s="6"/>
    </row>
    <row r="11" spans="2:21" ht="12" customHeight="1" x14ac:dyDescent="0.3">
      <c r="B11" s="4"/>
      <c r="C11" s="75"/>
      <c r="D11" s="75"/>
      <c r="E11" s="37"/>
      <c r="F11" s="98"/>
      <c r="G11" s="37"/>
      <c r="H11" s="37"/>
      <c r="I11" s="37"/>
      <c r="J11" s="37"/>
      <c r="K11" s="37"/>
      <c r="L11" s="37"/>
      <c r="M11" s="37"/>
      <c r="N11" s="37"/>
      <c r="O11" s="37"/>
      <c r="P11" s="37"/>
      <c r="Q11" s="37"/>
      <c r="R11" s="328" t="s">
        <v>242</v>
      </c>
      <c r="S11" s="329">
        <f>IF('Stage 1'!O34="Yes",'Stage 1'!K46,IF(ISTEXT('Stage 1'!AE46),'Stage 1'!AF46,'Stage 1'!AE46))</f>
        <v>0.9</v>
      </c>
      <c r="T11" s="37"/>
      <c r="U11" s="6"/>
    </row>
    <row r="12" spans="2:21" ht="13" x14ac:dyDescent="0.3">
      <c r="B12" s="4"/>
      <c r="C12" s="75"/>
      <c r="D12" s="75"/>
      <c r="E12" s="37"/>
      <c r="F12" s="402" t="s">
        <v>243</v>
      </c>
      <c r="G12" s="402"/>
      <c r="H12" s="402"/>
      <c r="I12" s="402"/>
      <c r="J12" s="402"/>
      <c r="K12" s="100">
        <f>'Stage 1'!V59</f>
        <v>0</v>
      </c>
      <c r="L12" s="115"/>
      <c r="M12" s="189">
        <f>IF(ISNUMBER('Stage 1'!L46),IF('Stage 1'!O34="Yes",(('Stage 1'!L46*'Stage 1'!W29)/1000000)*365.25,0),"")</f>
        <v>0</v>
      </c>
      <c r="N12" s="90"/>
      <c r="O12" s="264">
        <f>'Stage 1'!X59</f>
        <v>0</v>
      </c>
      <c r="P12" s="90" t="s">
        <v>192</v>
      </c>
      <c r="Q12" s="90"/>
      <c r="R12" s="328" t="str">
        <f>IF(ISNUMBER('Stage 1'!L46),"Post 2025 TP discharge concentration","")</f>
        <v>Post 2025 TP discharge concentration</v>
      </c>
      <c r="S12" s="329">
        <f>IF(ISNUMBER('Stage 1'!L46),'Stage 1'!L46,"")</f>
        <v>0.45</v>
      </c>
      <c r="T12" s="37"/>
      <c r="U12" s="6"/>
    </row>
    <row r="13" spans="2:21" ht="23.5" customHeight="1" x14ac:dyDescent="0.3">
      <c r="B13" s="4"/>
      <c r="C13" s="75"/>
      <c r="D13" s="75"/>
      <c r="E13" s="37"/>
      <c r="F13" s="298"/>
      <c r="G13" s="298"/>
      <c r="H13" s="298"/>
      <c r="I13" s="298"/>
      <c r="J13" s="298"/>
      <c r="K13" s="115"/>
      <c r="L13" s="115"/>
      <c r="M13" s="115"/>
      <c r="N13" s="90"/>
      <c r="O13" s="235"/>
      <c r="P13" s="90"/>
      <c r="Q13" s="90"/>
      <c r="R13" s="328" t="s">
        <v>244</v>
      </c>
      <c r="S13" s="329">
        <f>IF('Stage 1'!O34="Yes",'Stage 1'!M46,IF(ISTEXT('Stage 1'!AE46),'Stage 1'!AF46,'Stage 1'!AE46))</f>
        <v>0.22500000000000001</v>
      </c>
      <c r="T13" s="37"/>
      <c r="U13" s="6"/>
    </row>
    <row r="14" spans="2:21" ht="11.5" customHeight="1" x14ac:dyDescent="0.3">
      <c r="B14" s="4"/>
      <c r="C14" s="75"/>
      <c r="D14" s="75"/>
      <c r="E14" s="37"/>
      <c r="F14" s="37"/>
      <c r="G14" s="37"/>
      <c r="H14" s="37"/>
      <c r="I14" s="37"/>
      <c r="J14" s="37"/>
      <c r="K14" s="37"/>
      <c r="L14" s="37"/>
      <c r="M14" s="98"/>
      <c r="N14" s="37"/>
      <c r="O14" s="37"/>
      <c r="P14" s="37"/>
      <c r="Q14" s="37"/>
      <c r="R14" s="37"/>
      <c r="S14" s="37"/>
      <c r="T14" s="37"/>
      <c r="U14" s="6"/>
    </row>
    <row r="15" spans="2:21" ht="12" customHeight="1" x14ac:dyDescent="0.3">
      <c r="B15" s="4"/>
      <c r="C15" s="75"/>
      <c r="D15" s="107"/>
      <c r="E15" s="101"/>
      <c r="F15" s="101"/>
      <c r="G15" s="101"/>
      <c r="H15" s="101"/>
      <c r="I15" s="101"/>
      <c r="J15" s="101"/>
      <c r="K15" s="101"/>
      <c r="L15" s="101"/>
      <c r="M15" s="101"/>
      <c r="N15" s="101"/>
      <c r="O15" s="101"/>
      <c r="P15" s="101"/>
      <c r="Q15" s="101"/>
      <c r="R15" s="101"/>
      <c r="S15" s="101"/>
      <c r="T15" s="101"/>
      <c r="U15" s="6"/>
    </row>
    <row r="16" spans="2:21" ht="15.5" x14ac:dyDescent="0.3">
      <c r="B16" s="4"/>
      <c r="C16" s="75"/>
      <c r="D16" s="75"/>
      <c r="E16" s="295">
        <v>2</v>
      </c>
      <c r="F16" s="401" t="s">
        <v>245</v>
      </c>
      <c r="G16" s="401"/>
      <c r="H16" s="401"/>
      <c r="I16" s="401"/>
      <c r="J16" s="401"/>
      <c r="K16" s="303" t="s">
        <v>144</v>
      </c>
      <c r="L16" s="303"/>
      <c r="M16" s="303" t="str">
        <f>IF(ISNUMBER('Stage 1'!L46),"Value","")</f>
        <v>Value</v>
      </c>
      <c r="N16" s="303"/>
      <c r="O16" s="303" t="s">
        <v>144</v>
      </c>
      <c r="P16" s="303" t="s">
        <v>145</v>
      </c>
      <c r="Q16" s="303"/>
      <c r="R16" s="328" t="s">
        <v>246</v>
      </c>
      <c r="S16" s="331">
        <f>'Stage 2'!K42</f>
        <v>0</v>
      </c>
      <c r="T16" s="37"/>
      <c r="U16" s="6"/>
    </row>
    <row r="17" spans="2:23" ht="4" customHeight="1" x14ac:dyDescent="0.3">
      <c r="B17" s="4"/>
      <c r="C17" s="75"/>
      <c r="D17" s="75"/>
      <c r="E17" s="85"/>
      <c r="F17" s="99"/>
      <c r="G17" s="37"/>
      <c r="H17" s="37"/>
      <c r="I17" s="37"/>
      <c r="J17" s="37"/>
      <c r="K17" s="303"/>
      <c r="L17" s="303"/>
      <c r="M17" s="303"/>
      <c r="N17" s="303"/>
      <c r="O17" s="303"/>
      <c r="P17" s="303"/>
      <c r="Q17" s="303"/>
      <c r="R17" s="328"/>
      <c r="S17" s="331"/>
      <c r="T17" s="37"/>
      <c r="U17" s="6"/>
    </row>
    <row r="18" spans="2:23" ht="13" x14ac:dyDescent="0.3">
      <c r="B18" s="4"/>
      <c r="C18" s="75"/>
      <c r="D18" s="75"/>
      <c r="E18" s="37"/>
      <c r="F18" s="402" t="s">
        <v>247</v>
      </c>
      <c r="G18" s="402"/>
      <c r="H18" s="402"/>
      <c r="I18" s="402"/>
      <c r="J18" s="402"/>
      <c r="K18" s="100">
        <f>(('Stage 3'!K35)-('Stage 2'!K42))</f>
        <v>0</v>
      </c>
      <c r="L18" s="115"/>
      <c r="M18" s="190">
        <f>IF(ISNUMBER('Stage 1'!L46),(('Stage 3'!K35)-('Stage 2'!K42)),"")</f>
        <v>0</v>
      </c>
      <c r="N18" s="90"/>
      <c r="O18" s="264">
        <f>(('Stage 3'!K35)-('Stage 2'!K42))</f>
        <v>0</v>
      </c>
      <c r="P18" s="90" t="s">
        <v>192</v>
      </c>
      <c r="Q18" s="90"/>
      <c r="R18" s="328" t="s">
        <v>248</v>
      </c>
      <c r="S18" s="331">
        <f>'Stage 3'!K35</f>
        <v>0</v>
      </c>
      <c r="T18" s="37"/>
      <c r="U18" s="6"/>
    </row>
    <row r="19" spans="2:23" ht="10.5" customHeight="1" x14ac:dyDescent="0.3">
      <c r="B19" s="4"/>
      <c r="C19" s="75"/>
      <c r="D19" s="75"/>
      <c r="E19" s="37"/>
      <c r="F19" s="37"/>
      <c r="G19" s="37"/>
      <c r="H19" s="37"/>
      <c r="I19" s="37"/>
      <c r="J19" s="37"/>
      <c r="K19" s="37"/>
      <c r="L19" s="37"/>
      <c r="M19" s="37"/>
      <c r="N19" s="37"/>
      <c r="O19" s="37"/>
      <c r="P19" s="37"/>
      <c r="Q19" s="37"/>
      <c r="R19" s="37"/>
      <c r="S19" s="37"/>
      <c r="T19" s="37"/>
      <c r="U19" s="6"/>
    </row>
    <row r="20" spans="2:23" ht="13" x14ac:dyDescent="0.3">
      <c r="B20" s="4"/>
      <c r="C20" s="75"/>
      <c r="D20" s="75"/>
      <c r="E20" s="101"/>
      <c r="F20" s="101"/>
      <c r="G20" s="101"/>
      <c r="H20" s="101"/>
      <c r="I20" s="101"/>
      <c r="J20" s="101"/>
      <c r="K20" s="101"/>
      <c r="L20" s="101"/>
      <c r="M20" s="101"/>
      <c r="N20" s="101"/>
      <c r="O20" s="101"/>
      <c r="P20" s="101"/>
      <c r="Q20" s="101"/>
      <c r="R20" s="101"/>
      <c r="S20" s="101"/>
      <c r="T20" s="101"/>
      <c r="U20" s="6"/>
    </row>
    <row r="21" spans="2:23" ht="15.5" x14ac:dyDescent="0.3">
      <c r="B21" s="4"/>
      <c r="C21" s="75"/>
      <c r="D21" s="75"/>
      <c r="E21" s="295">
        <v>3</v>
      </c>
      <c r="F21" s="401" t="s">
        <v>249</v>
      </c>
      <c r="G21" s="401"/>
      <c r="H21" s="401"/>
      <c r="I21" s="401"/>
      <c r="J21" s="401"/>
      <c r="K21" s="303" t="s">
        <v>144</v>
      </c>
      <c r="L21" s="303"/>
      <c r="M21" s="303" t="str">
        <f>IF(ISNUMBER('Stage 1'!L46),"Value","")</f>
        <v>Value</v>
      </c>
      <c r="N21" s="303"/>
      <c r="O21" s="303" t="s">
        <v>144</v>
      </c>
      <c r="P21" s="303" t="s">
        <v>145</v>
      </c>
      <c r="Q21" s="303"/>
      <c r="R21" s="303"/>
      <c r="S21" s="303"/>
      <c r="T21" s="37"/>
      <c r="U21" s="6"/>
    </row>
    <row r="22" spans="2:23" ht="6.65" customHeight="1" x14ac:dyDescent="0.3">
      <c r="B22" s="4"/>
      <c r="C22" s="75"/>
      <c r="D22" s="75"/>
      <c r="E22" s="85"/>
      <c r="F22" s="99"/>
      <c r="G22" s="37"/>
      <c r="H22" s="37"/>
      <c r="I22" s="37"/>
      <c r="J22" s="37"/>
      <c r="K22" s="303"/>
      <c r="L22" s="303"/>
      <c r="M22" s="303"/>
      <c r="N22" s="303"/>
      <c r="O22" s="303"/>
      <c r="P22" s="303"/>
      <c r="Q22" s="303"/>
      <c r="R22" s="303"/>
      <c r="S22" s="303"/>
      <c r="T22" s="37"/>
      <c r="U22" s="6"/>
    </row>
    <row r="23" spans="2:23" ht="13" x14ac:dyDescent="0.3">
      <c r="B23" s="4"/>
      <c r="C23" s="75"/>
      <c r="D23" s="75"/>
      <c r="E23" s="37"/>
      <c r="F23" s="402" t="s">
        <v>250</v>
      </c>
      <c r="G23" s="402"/>
      <c r="H23" s="402"/>
      <c r="I23" s="402"/>
      <c r="J23" s="402"/>
      <c r="K23" s="100">
        <f>K12+K18</f>
        <v>0</v>
      </c>
      <c r="L23" s="115"/>
      <c r="M23" s="190">
        <f>IF(ISNUMBER('Stage 1'!L46),M12+M18,"")</f>
        <v>0</v>
      </c>
      <c r="N23" s="90"/>
      <c r="O23" s="264">
        <f>O12+O18</f>
        <v>0</v>
      </c>
      <c r="P23" s="90" t="s">
        <v>192</v>
      </c>
      <c r="Q23" s="90"/>
      <c r="R23" s="90"/>
      <c r="S23" s="90"/>
      <c r="T23" s="37"/>
      <c r="U23" s="6"/>
    </row>
    <row r="24" spans="2:23" ht="13" x14ac:dyDescent="0.3">
      <c r="B24" s="4"/>
      <c r="C24" s="75"/>
      <c r="D24" s="75"/>
      <c r="E24" s="37"/>
      <c r="F24" s="37"/>
      <c r="G24" s="37"/>
      <c r="H24" s="37"/>
      <c r="I24" s="37"/>
      <c r="J24" s="37"/>
      <c r="K24" s="37"/>
      <c r="L24" s="37"/>
      <c r="M24" s="37"/>
      <c r="N24" s="37"/>
      <c r="O24" s="37"/>
      <c r="P24" s="37"/>
      <c r="Q24" s="37"/>
      <c r="R24" s="37"/>
      <c r="S24" s="37"/>
      <c r="T24" s="37"/>
      <c r="U24" s="6"/>
    </row>
    <row r="25" spans="2:23" ht="13" x14ac:dyDescent="0.3">
      <c r="B25" s="4"/>
      <c r="C25" s="75"/>
      <c r="D25" s="75"/>
      <c r="E25" s="101"/>
      <c r="F25" s="101"/>
      <c r="G25" s="101"/>
      <c r="H25" s="101"/>
      <c r="I25" s="101"/>
      <c r="J25" s="101"/>
      <c r="K25" s="101"/>
      <c r="L25" s="101"/>
      <c r="M25" s="101"/>
      <c r="N25" s="101"/>
      <c r="O25" s="101"/>
      <c r="P25" s="101"/>
      <c r="Q25" s="101"/>
      <c r="R25" s="101"/>
      <c r="S25" s="101"/>
      <c r="T25" s="101"/>
      <c r="U25" s="6"/>
    </row>
    <row r="26" spans="2:23" ht="15.5" x14ac:dyDescent="0.3">
      <c r="B26" s="4"/>
      <c r="C26" s="75"/>
      <c r="D26" s="75"/>
      <c r="E26" s="295">
        <v>4</v>
      </c>
      <c r="F26" s="401" t="s">
        <v>251</v>
      </c>
      <c r="G26" s="401"/>
      <c r="H26" s="401"/>
      <c r="I26" s="401"/>
      <c r="J26" s="401"/>
      <c r="K26" s="303" t="s">
        <v>144</v>
      </c>
      <c r="L26" s="303"/>
      <c r="M26" s="303" t="str">
        <f>IF(ISNUMBER('Stage 1'!L46),"Value","")</f>
        <v>Value</v>
      </c>
      <c r="N26" s="303"/>
      <c r="O26" s="303" t="s">
        <v>144</v>
      </c>
      <c r="P26" s="303" t="s">
        <v>145</v>
      </c>
      <c r="Q26" s="303"/>
      <c r="R26" s="303"/>
      <c r="S26" s="303"/>
      <c r="T26" s="37"/>
      <c r="U26" s="6"/>
    </row>
    <row r="27" spans="2:23" ht="6" customHeight="1" x14ac:dyDescent="0.3">
      <c r="B27" s="4"/>
      <c r="C27" s="75"/>
      <c r="D27" s="75"/>
      <c r="E27" s="85"/>
      <c r="F27" s="99"/>
      <c r="G27" s="37"/>
      <c r="H27" s="37"/>
      <c r="I27" s="37"/>
      <c r="J27" s="37"/>
      <c r="K27" s="303"/>
      <c r="L27" s="303"/>
      <c r="M27" s="303"/>
      <c r="N27" s="303"/>
      <c r="O27" s="303"/>
      <c r="P27" s="303"/>
      <c r="Q27" s="303"/>
      <c r="R27" s="303"/>
      <c r="S27" s="303"/>
      <c r="T27" s="37"/>
      <c r="U27" s="6"/>
    </row>
    <row r="28" spans="2:23" ht="16" customHeight="1" x14ac:dyDescent="0.3">
      <c r="B28" s="4"/>
      <c r="C28" s="75"/>
      <c r="D28" s="75"/>
      <c r="E28" s="85"/>
      <c r="F28" s="400" t="s">
        <v>252</v>
      </c>
      <c r="G28" s="400"/>
      <c r="H28" s="400"/>
      <c r="I28" s="400"/>
      <c r="J28" s="400"/>
      <c r="K28" s="87">
        <v>20</v>
      </c>
      <c r="L28" s="303"/>
      <c r="M28" s="303">
        <f>IF(ISNUMBER('Stage 1'!L46),20,"")</f>
        <v>20</v>
      </c>
      <c r="N28" s="86"/>
      <c r="O28" s="265">
        <v>20</v>
      </c>
      <c r="P28" s="86" t="s">
        <v>155</v>
      </c>
      <c r="Q28" s="303"/>
      <c r="R28" s="303"/>
      <c r="S28" s="303"/>
      <c r="T28" s="37"/>
      <c r="U28" s="6"/>
    </row>
    <row r="29" spans="2:23" ht="15" customHeight="1" x14ac:dyDescent="0.3">
      <c r="B29" s="4"/>
      <c r="C29" s="75"/>
      <c r="D29" s="75"/>
      <c r="E29" s="37"/>
      <c r="F29" s="400" t="s">
        <v>253</v>
      </c>
      <c r="G29" s="400"/>
      <c r="H29" s="400"/>
      <c r="I29" s="400"/>
      <c r="J29" s="400"/>
      <c r="K29" s="100">
        <f>IF(K23&gt;0,K23*(K28/100),K23*0)</f>
        <v>0</v>
      </c>
      <c r="L29" s="115"/>
      <c r="M29" s="115">
        <f>IF(ISNUMBER('Stage 1'!L46),IF(M23&gt;0,M23*(M28/100),M23*0),"")</f>
        <v>0</v>
      </c>
      <c r="N29" s="90"/>
      <c r="O29" s="264">
        <f>IF(O23&gt;0,O23*(O28/100),O23*0)</f>
        <v>0</v>
      </c>
      <c r="P29" s="90" t="s">
        <v>192</v>
      </c>
      <c r="Q29" s="90"/>
      <c r="R29" s="90"/>
      <c r="S29" s="90"/>
      <c r="T29" s="37"/>
      <c r="U29" s="6"/>
    </row>
    <row r="30" spans="2:23" ht="13" x14ac:dyDescent="0.3">
      <c r="B30" s="4"/>
      <c r="C30" s="75"/>
      <c r="D30" s="75"/>
      <c r="E30" s="37"/>
      <c r="F30" s="37"/>
      <c r="G30" s="37"/>
      <c r="H30" s="37"/>
      <c r="I30" s="37"/>
      <c r="J30" s="37"/>
      <c r="K30" s="37"/>
      <c r="L30" s="37"/>
      <c r="M30" s="98"/>
      <c r="N30" s="37"/>
      <c r="O30" s="37"/>
      <c r="P30" s="37"/>
      <c r="Q30" s="37"/>
      <c r="R30" s="37"/>
      <c r="S30" s="37"/>
      <c r="T30" s="37"/>
      <c r="U30" s="6"/>
      <c r="W30" t="s">
        <v>254</v>
      </c>
    </row>
    <row r="31" spans="2:23" ht="12.65" customHeight="1" x14ac:dyDescent="0.3">
      <c r="B31" s="4"/>
      <c r="C31" s="75"/>
      <c r="D31" s="75"/>
      <c r="E31" s="405" t="s">
        <v>255</v>
      </c>
      <c r="F31" s="405"/>
      <c r="G31" s="405"/>
      <c r="H31" s="405"/>
      <c r="I31" s="405"/>
      <c r="J31" s="405"/>
      <c r="K31" s="405"/>
      <c r="L31" s="405"/>
      <c r="M31" s="405"/>
      <c r="N31" s="405"/>
      <c r="O31" s="405"/>
      <c r="P31" s="405"/>
      <c r="Q31" s="405"/>
      <c r="R31" s="405"/>
      <c r="S31" s="405"/>
      <c r="T31" s="405"/>
      <c r="U31" s="6"/>
    </row>
    <row r="32" spans="2:23" ht="23.5" customHeight="1" x14ac:dyDescent="0.3">
      <c r="B32" s="4"/>
      <c r="C32" s="75"/>
      <c r="D32" s="75"/>
      <c r="E32" s="405"/>
      <c r="F32" s="405"/>
      <c r="G32" s="405"/>
      <c r="H32" s="405"/>
      <c r="I32" s="405"/>
      <c r="J32" s="405"/>
      <c r="K32" s="405"/>
      <c r="L32" s="405"/>
      <c r="M32" s="405"/>
      <c r="N32" s="405"/>
      <c r="O32" s="405"/>
      <c r="P32" s="405"/>
      <c r="Q32" s="405"/>
      <c r="R32" s="405"/>
      <c r="S32" s="405"/>
      <c r="T32" s="405"/>
      <c r="U32" s="6"/>
      <c r="W32" t="s">
        <v>256</v>
      </c>
    </row>
    <row r="33" spans="2:23" ht="1.5" customHeight="1" x14ac:dyDescent="0.3">
      <c r="B33" s="4"/>
      <c r="C33" s="75"/>
      <c r="D33" s="75"/>
      <c r="E33" s="116"/>
      <c r="F33" s="116"/>
      <c r="G33" s="116"/>
      <c r="H33" s="116"/>
      <c r="I33" s="116"/>
      <c r="J33" s="116"/>
      <c r="K33" s="116"/>
      <c r="L33" s="116"/>
      <c r="M33" s="116"/>
      <c r="N33" s="116"/>
      <c r="O33" s="116"/>
      <c r="P33" s="116"/>
      <c r="Q33" s="116"/>
      <c r="R33" s="116"/>
      <c r="S33" s="116"/>
      <c r="T33" s="116"/>
      <c r="U33" s="6"/>
    </row>
    <row r="34" spans="2:23" ht="13" x14ac:dyDescent="0.3">
      <c r="B34" s="4"/>
      <c r="C34" s="75"/>
      <c r="D34" s="75"/>
      <c r="E34" s="101"/>
      <c r="F34" s="101"/>
      <c r="G34" s="101"/>
      <c r="H34" s="101"/>
      <c r="I34" s="101"/>
      <c r="J34" s="101"/>
      <c r="K34" s="101"/>
      <c r="L34" s="101"/>
      <c r="M34" s="101"/>
      <c r="N34" s="101"/>
      <c r="O34" s="101"/>
      <c r="P34" s="101"/>
      <c r="Q34" s="101"/>
      <c r="R34" s="101"/>
      <c r="S34" s="101"/>
      <c r="T34" s="101"/>
      <c r="U34" s="6"/>
      <c r="W34" t="s">
        <v>257</v>
      </c>
    </row>
    <row r="35" spans="2:23" ht="15.5" x14ac:dyDescent="0.3">
      <c r="B35" s="4"/>
      <c r="C35" s="75"/>
      <c r="D35" s="75"/>
      <c r="E35" s="295">
        <v>5</v>
      </c>
      <c r="F35" s="422" t="s">
        <v>259</v>
      </c>
      <c r="G35" s="422"/>
      <c r="H35" s="422"/>
      <c r="I35" s="422"/>
      <c r="J35" s="422"/>
      <c r="K35" s="303" t="s">
        <v>144</v>
      </c>
      <c r="L35" s="303"/>
      <c r="M35" s="303" t="str">
        <f>IF(ISNUMBER('Stage 1'!L46),"Value","")</f>
        <v>Value</v>
      </c>
      <c r="N35" s="210"/>
      <c r="O35" s="303" t="s">
        <v>144</v>
      </c>
      <c r="P35" s="303" t="s">
        <v>145</v>
      </c>
      <c r="Q35" s="303"/>
      <c r="R35" s="303"/>
      <c r="S35" s="303"/>
      <c r="T35" s="37"/>
      <c r="U35" s="6"/>
      <c r="W35" t="s">
        <v>260</v>
      </c>
    </row>
    <row r="36" spans="2:23" ht="6.65" customHeight="1" x14ac:dyDescent="0.3">
      <c r="B36" s="4"/>
      <c r="C36" s="75"/>
      <c r="D36" s="75"/>
      <c r="E36" s="85"/>
      <c r="F36" s="99"/>
      <c r="G36" s="37"/>
      <c r="H36" s="37"/>
      <c r="I36" s="37"/>
      <c r="J36" s="37"/>
      <c r="K36" s="303"/>
      <c r="L36" s="303"/>
      <c r="M36" s="303"/>
      <c r="N36" s="210"/>
      <c r="O36" s="303"/>
      <c r="P36" s="303"/>
      <c r="Q36" s="303"/>
      <c r="R36" s="303"/>
      <c r="S36" s="303"/>
      <c r="T36" s="37"/>
      <c r="U36" s="6"/>
    </row>
    <row r="37" spans="2:23" ht="13" x14ac:dyDescent="0.3">
      <c r="B37" s="4"/>
      <c r="C37" s="75"/>
      <c r="D37" s="75"/>
      <c r="E37" s="37"/>
      <c r="F37" s="402" t="s">
        <v>261</v>
      </c>
      <c r="G37" s="402"/>
      <c r="H37" s="402"/>
      <c r="I37" s="402"/>
      <c r="J37" s="402"/>
      <c r="K37" s="100">
        <f>K23+K29</f>
        <v>0</v>
      </c>
      <c r="L37" s="115"/>
      <c r="M37" s="190">
        <f>IF(ISNUMBER('Stage 1'!L46),M23+M29,"")</f>
        <v>0</v>
      </c>
      <c r="N37" s="210"/>
      <c r="O37" s="264">
        <f>O23+O29</f>
        <v>0</v>
      </c>
      <c r="P37" s="90" t="s">
        <v>192</v>
      </c>
      <c r="Q37" s="90"/>
      <c r="R37" s="90"/>
      <c r="S37" s="90"/>
      <c r="T37" s="37"/>
      <c r="U37" s="6"/>
    </row>
    <row r="38" spans="2:23" ht="13" x14ac:dyDescent="0.3">
      <c r="B38" s="4"/>
      <c r="C38" s="75"/>
      <c r="D38" s="75"/>
      <c r="E38" s="75"/>
      <c r="F38" s="75"/>
      <c r="G38" s="75"/>
      <c r="H38" s="75"/>
      <c r="I38" s="75"/>
      <c r="J38" s="75"/>
      <c r="K38" s="75"/>
      <c r="L38" s="75"/>
      <c r="M38" s="75"/>
      <c r="N38" s="75"/>
      <c r="O38" s="75"/>
      <c r="P38" s="75"/>
      <c r="Q38" s="75"/>
      <c r="R38" s="75"/>
      <c r="S38" s="75"/>
      <c r="T38" s="75"/>
      <c r="U38" s="6"/>
    </row>
    <row r="39" spans="2:23" ht="12.65" customHeight="1" x14ac:dyDescent="0.35">
      <c r="B39" s="4"/>
      <c r="C39" s="75"/>
      <c r="D39" s="244" t="s">
        <v>262</v>
      </c>
      <c r="E39" s="244"/>
      <c r="F39" s="244"/>
      <c r="G39" s="244"/>
      <c r="H39" s="244"/>
      <c r="I39" s="244"/>
      <c r="J39" s="244"/>
      <c r="K39" s="244"/>
      <c r="L39" s="244"/>
      <c r="M39" s="244"/>
      <c r="N39" s="244"/>
      <c r="O39" s="244"/>
      <c r="P39" s="244"/>
      <c r="Q39" s="244"/>
      <c r="R39" s="244"/>
      <c r="S39" s="244"/>
      <c r="T39" s="244"/>
      <c r="U39" s="6"/>
    </row>
    <row r="40" spans="2:23" ht="35.5" customHeight="1" x14ac:dyDescent="0.3">
      <c r="B40" s="4"/>
      <c r="C40" s="75"/>
      <c r="D40" s="423" t="str">
        <f>IF(K37&gt;0,W32,W30)</f>
        <v>Development will be Phosphorus neutral - no mitigation will be required</v>
      </c>
      <c r="E40" s="423"/>
      <c r="F40" s="423"/>
      <c r="G40" s="423"/>
      <c r="H40" s="423"/>
      <c r="I40" s="423"/>
      <c r="J40" s="423"/>
      <c r="K40" s="423"/>
      <c r="L40" s="423"/>
      <c r="M40" s="423"/>
      <c r="N40" s="423"/>
      <c r="O40" s="423"/>
      <c r="P40" s="423"/>
      <c r="Q40" s="423"/>
      <c r="R40" s="423"/>
      <c r="S40" s="423"/>
      <c r="T40" s="245"/>
      <c r="U40" s="6"/>
    </row>
    <row r="41" spans="2:23" ht="4.5" customHeight="1" x14ac:dyDescent="0.3">
      <c r="B41" s="4"/>
      <c r="C41" s="75"/>
      <c r="D41" s="302"/>
      <c r="E41" s="302"/>
      <c r="F41" s="302"/>
      <c r="G41" s="302"/>
      <c r="H41" s="302"/>
      <c r="I41" s="302"/>
      <c r="J41" s="302"/>
      <c r="K41" s="302"/>
      <c r="L41" s="302"/>
      <c r="M41" s="302"/>
      <c r="N41" s="302"/>
      <c r="O41" s="302"/>
      <c r="P41" s="302"/>
      <c r="Q41" s="302"/>
      <c r="R41" s="302"/>
      <c r="S41" s="302"/>
      <c r="T41" s="302"/>
      <c r="U41" s="6"/>
    </row>
    <row r="42" spans="2:23" ht="13" customHeight="1" x14ac:dyDescent="0.3">
      <c r="B42" s="4"/>
      <c r="C42" s="75"/>
      <c r="D42" s="243" t="str">
        <f>IF(ISNUMBER('Stage 1'!L46),"Post 2025 WwTW Permit levels","")</f>
        <v>Post 2025 WwTW Permit levels</v>
      </c>
      <c r="E42" s="243"/>
      <c r="F42" s="243"/>
      <c r="G42" s="243"/>
      <c r="H42" s="243"/>
      <c r="I42" s="243"/>
      <c r="J42" s="243"/>
      <c r="K42" s="243"/>
      <c r="L42" s="243"/>
      <c r="M42" s="243"/>
      <c r="N42" s="243"/>
      <c r="O42" s="243"/>
      <c r="P42" s="243"/>
      <c r="Q42" s="243"/>
      <c r="R42" s="243"/>
      <c r="S42" s="243"/>
      <c r="T42" s="243"/>
      <c r="U42" s="6"/>
    </row>
    <row r="43" spans="2:23" ht="35.5" customHeight="1" x14ac:dyDescent="0.3">
      <c r="B43" s="4"/>
      <c r="C43" s="75"/>
      <c r="D43" s="423" t="str">
        <f>IF(ISNUMBER('Stage 1'!L46),IF(M37&gt;0,W34,W30),"")</f>
        <v>Development will be Phosphorus neutral - no mitigation will be required</v>
      </c>
      <c r="E43" s="423"/>
      <c r="F43" s="423"/>
      <c r="G43" s="423"/>
      <c r="H43" s="423"/>
      <c r="I43" s="423"/>
      <c r="J43" s="423"/>
      <c r="K43" s="423"/>
      <c r="L43" s="423"/>
      <c r="M43" s="423"/>
      <c r="N43" s="423"/>
      <c r="O43" s="423"/>
      <c r="P43" s="423"/>
      <c r="Q43" s="423"/>
      <c r="R43" s="423"/>
      <c r="S43" s="423"/>
      <c r="T43" s="245"/>
      <c r="U43" s="6"/>
    </row>
    <row r="44" spans="2:23" ht="5.5" customHeight="1" x14ac:dyDescent="0.3">
      <c r="B44" s="4"/>
      <c r="C44" s="75"/>
      <c r="D44" s="302"/>
      <c r="E44" s="302"/>
      <c r="F44" s="302"/>
      <c r="G44" s="302"/>
      <c r="H44" s="302"/>
      <c r="I44" s="302"/>
      <c r="J44" s="302"/>
      <c r="K44" s="302"/>
      <c r="L44" s="302"/>
      <c r="M44" s="302"/>
      <c r="N44" s="302"/>
      <c r="O44" s="302"/>
      <c r="P44" s="302"/>
      <c r="Q44" s="302"/>
      <c r="R44" s="302"/>
      <c r="S44" s="302"/>
      <c r="T44" s="302"/>
      <c r="U44" s="6"/>
    </row>
    <row r="45" spans="2:23" ht="14.5" customHeight="1" x14ac:dyDescent="0.3">
      <c r="B45" s="4"/>
      <c r="C45" s="75"/>
      <c r="D45" s="421" t="s">
        <v>263</v>
      </c>
      <c r="E45" s="421"/>
      <c r="F45" s="421"/>
      <c r="G45" s="421"/>
      <c r="H45" s="421"/>
      <c r="I45" s="421"/>
      <c r="J45" s="421"/>
      <c r="K45" s="421"/>
      <c r="L45" s="421"/>
      <c r="M45" s="421"/>
      <c r="N45" s="421"/>
      <c r="O45" s="421"/>
      <c r="P45" s="421"/>
      <c r="Q45" s="421"/>
      <c r="R45" s="421"/>
      <c r="S45" s="421"/>
      <c r="T45" s="421"/>
      <c r="U45" s="6"/>
    </row>
    <row r="46" spans="2:23" ht="35.5" customHeight="1" x14ac:dyDescent="0.3">
      <c r="B46" s="4"/>
      <c r="C46" s="75"/>
      <c r="D46" s="421" t="str">
        <f>IF(O37&gt;0,W35,W30)</f>
        <v>Development will be Phosphorus neutral - no mitigation will be required</v>
      </c>
      <c r="E46" s="421"/>
      <c r="F46" s="421"/>
      <c r="G46" s="421"/>
      <c r="H46" s="421"/>
      <c r="I46" s="421"/>
      <c r="J46" s="421"/>
      <c r="K46" s="421"/>
      <c r="L46" s="421"/>
      <c r="M46" s="421"/>
      <c r="N46" s="421"/>
      <c r="O46" s="421"/>
      <c r="P46" s="421"/>
      <c r="Q46" s="421"/>
      <c r="R46" s="421"/>
      <c r="S46" s="421"/>
      <c r="T46" s="302"/>
      <c r="U46" s="6"/>
    </row>
    <row r="47" spans="2:23" ht="8.5" customHeight="1" x14ac:dyDescent="0.3">
      <c r="B47" s="4"/>
      <c r="C47" s="75"/>
      <c r="D47" s="302"/>
      <c r="E47" s="302"/>
      <c r="F47" s="302"/>
      <c r="G47" s="302"/>
      <c r="H47" s="302"/>
      <c r="I47" s="302"/>
      <c r="J47" s="302"/>
      <c r="K47" s="302"/>
      <c r="L47" s="302"/>
      <c r="M47" s="302"/>
      <c r="N47" s="302"/>
      <c r="O47" s="302"/>
      <c r="P47" s="302"/>
      <c r="Q47" s="302"/>
      <c r="R47" s="302"/>
      <c r="S47" s="302"/>
      <c r="T47" s="302"/>
      <c r="U47" s="6"/>
    </row>
    <row r="48" spans="2:23" ht="6" customHeight="1" thickBot="1" x14ac:dyDescent="0.35">
      <c r="B48" s="7"/>
      <c r="C48" s="105"/>
      <c r="D48" s="105"/>
      <c r="E48" s="105"/>
      <c r="F48" s="105"/>
      <c r="G48" s="105"/>
      <c r="H48" s="105"/>
      <c r="I48" s="105"/>
      <c r="J48" s="105"/>
      <c r="K48" s="105"/>
      <c r="L48" s="105"/>
      <c r="M48" s="105"/>
      <c r="N48" s="105"/>
      <c r="O48" s="105"/>
      <c r="P48" s="105"/>
      <c r="Q48" s="105"/>
      <c r="R48" s="105"/>
      <c r="S48" s="105"/>
      <c r="T48" s="105"/>
      <c r="U48" s="9"/>
    </row>
  </sheetData>
  <sheetProtection algorithmName="SHA-512" hashValue="kzgu1cgU3dORh7NhKRxjTC7Tk29IVGY0GIBog6xVYsOc7eLK5QaFVcslhLli1k3NJtQUP089UiUjOitVJT5i3g==" saltValue="ygo2OEBeaVnxLY4ur8Ff4w==" spinCount="100000" sheet="1" objects="1" scenarios="1" selectLockedCells="1"/>
  <dataConsolidate/>
  <mergeCells count="19">
    <mergeCell ref="F3:T3"/>
    <mergeCell ref="E4:T6"/>
    <mergeCell ref="F10:J10"/>
    <mergeCell ref="F12:J12"/>
    <mergeCell ref="F16:J16"/>
    <mergeCell ref="R8:S8"/>
    <mergeCell ref="F18:J18"/>
    <mergeCell ref="F21:J21"/>
    <mergeCell ref="F23:J23"/>
    <mergeCell ref="F26:J26"/>
    <mergeCell ref="F28:J28"/>
    <mergeCell ref="D46:S46"/>
    <mergeCell ref="D45:T45"/>
    <mergeCell ref="F29:J29"/>
    <mergeCell ref="F35:J35"/>
    <mergeCell ref="F37:J37"/>
    <mergeCell ref="E31:T32"/>
    <mergeCell ref="D40:S40"/>
    <mergeCell ref="D43:S43"/>
  </mergeCells>
  <conditionalFormatting sqref="D40 T40 D41:T41 D42:D43 T43 D44:T44 D47:T47">
    <cfRule type="containsText" dxfId="86" priority="21" operator="containsText" text="additional">
      <formula>NOT(ISERROR(SEARCH("additional",D40)))</formula>
    </cfRule>
    <cfRule type="containsText" dxfId="85" priority="22" operator="containsText" text="neutral">
      <formula>NOT(ISERROR(SEARCH("neutral",D40)))</formula>
    </cfRule>
  </conditionalFormatting>
  <conditionalFormatting sqref="D45:D46 T46">
    <cfRule type="containsText" dxfId="84" priority="1" operator="containsText" text="additional">
      <formula>NOT(ISERROR(SEARCH("additional",D45)))</formula>
    </cfRule>
    <cfRule type="containsText" dxfId="83" priority="2" operator="containsText" text="neutral">
      <formula>NOT(ISERROR(SEARCH("neutral",D45)))</formula>
    </cfRule>
  </conditionalFormatting>
  <pageMargins left="0.70866141732283472" right="0.70866141732283472" top="0.74803149606299213" bottom="0.74803149606299213" header="0.31496062992125984" footer="0.31496062992125984"/>
  <pageSetup paperSize="9" scale="74" orientation="landscape" horizontalDpi="360" verticalDpi="360" r:id="rId1"/>
  <headerFooter>
    <oddHeader>&amp;LPhosphate Budget Calculator&amp;CStage 4&amp;R&amp;"Calibri"&amp;10&amp;KFF8C00Information Classification: CONTROLLED&amp;1#</oddHeader>
    <oddFooter>&amp;LVersion 1.0&amp;R&amp;D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0" id="{BEBEF1E3-7AE3-4B1E-9310-F5427ADE34F4}">
            <xm:f>ISNUMBER('Stage 1'!L46)</xm:f>
            <x14:dxf>
              <fill>
                <patternFill>
                  <bgColor rgb="FFFFF2CC"/>
                </patternFill>
              </fill>
            </x14:dxf>
          </x14:cfRule>
          <xm:sqref>M12:M13</xm:sqref>
        </x14:conditionalFormatting>
        <x14:conditionalFormatting xmlns:xm="http://schemas.microsoft.com/office/excel/2006/main">
          <x14:cfRule type="expression" priority="9" id="{5553C65D-2BBC-46DF-BE08-FE14AFD4C6B1}">
            <xm:f>ISNUMBER('Stage 1'!L46)</xm:f>
            <x14:dxf>
              <fill>
                <patternFill>
                  <bgColor rgb="FFFFF2CC"/>
                </patternFill>
              </fill>
            </x14:dxf>
          </x14:cfRule>
          <xm:sqref>M18</xm:sqref>
        </x14:conditionalFormatting>
        <x14:conditionalFormatting xmlns:xm="http://schemas.microsoft.com/office/excel/2006/main">
          <x14:cfRule type="expression" priority="8" id="{D83F0E35-CA60-433B-BC48-91F973CF0D33}">
            <xm:f>ISNUMBER('Stage 1'!L46)</xm:f>
            <x14:dxf>
              <fill>
                <patternFill>
                  <bgColor rgb="FFFFF2CC"/>
                </patternFill>
              </fill>
            </x14:dxf>
          </x14:cfRule>
          <xm:sqref>M23</xm:sqref>
        </x14:conditionalFormatting>
        <x14:conditionalFormatting xmlns:xm="http://schemas.microsoft.com/office/excel/2006/main">
          <x14:cfRule type="expression" priority="7" id="{FA2D5F8B-635C-4764-BF93-44FB913D7B1E}">
            <xm:f>ISNUMBER('Stage 1'!L46)</xm:f>
            <x14:dxf>
              <fill>
                <patternFill>
                  <bgColor rgb="FFFFF2CC"/>
                </patternFill>
              </fill>
            </x14:dxf>
          </x14:cfRule>
          <xm:sqref>M28</xm:sqref>
        </x14:conditionalFormatting>
        <x14:conditionalFormatting xmlns:xm="http://schemas.microsoft.com/office/excel/2006/main">
          <x14:cfRule type="expression" priority="6" id="{030D8CB1-D41B-4975-A181-B0B6356C8459}">
            <xm:f>ISNUMBER('Stage 1'!L46)</xm:f>
            <x14:dxf>
              <fill>
                <patternFill>
                  <bgColor rgb="FFFFF2CC"/>
                </patternFill>
              </fill>
            </x14:dxf>
          </x14:cfRule>
          <xm:sqref>M29</xm:sqref>
        </x14:conditionalFormatting>
        <x14:conditionalFormatting xmlns:xm="http://schemas.microsoft.com/office/excel/2006/main">
          <x14:cfRule type="expression" priority="5" id="{5517E4EE-A922-495F-BB8B-705AFAA22DDA}">
            <xm:f>ISNUMBER('Stage 1'!L46)</xm:f>
            <x14:dxf>
              <fill>
                <patternFill>
                  <bgColor rgb="FFFFF2CC"/>
                </patternFill>
              </fill>
            </x14:dxf>
          </x14:cfRule>
          <xm:sqref>M37</xm:sqref>
        </x14:conditionalFormatting>
        <x14:conditionalFormatting xmlns:xm="http://schemas.microsoft.com/office/excel/2006/main">
          <x14:cfRule type="expression" priority="4" id="{6C74D4F2-C010-4572-A253-08A85E7792B7}">
            <xm:f>ISNUMBER('Stage 1'!N46)</xm:f>
            <x14:dxf>
              <fill>
                <patternFill>
                  <bgColor rgb="FFDDEBF7"/>
                </patternFill>
              </fill>
            </x14:dxf>
          </x14:cfRule>
          <xm:sqref>R12:R13</xm:sqref>
        </x14:conditionalFormatting>
        <x14:conditionalFormatting xmlns:xm="http://schemas.microsoft.com/office/excel/2006/main">
          <x14:cfRule type="expression" priority="3" id="{E5DE4842-40C3-4CE8-9B46-1EAB96431FFE}">
            <xm:f>ISNUMBER('Stage 1'!N46)</xm:f>
            <x14:dxf>
              <fill>
                <patternFill>
                  <bgColor rgb="FFDDEBF7"/>
                </patternFill>
              </fill>
            </x14:dxf>
          </x14:cfRule>
          <xm:sqref>S12:S13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AD86-A958-4CDE-8DE8-EDCBC1121D46}">
  <dimension ref="B2:AK917"/>
  <sheetViews>
    <sheetView topLeftCell="A7" zoomScaleNormal="100" zoomScaleSheetLayoutView="50" workbookViewId="0">
      <selection activeCell="F16" sqref="F16"/>
    </sheetView>
  </sheetViews>
  <sheetFormatPr defaultRowHeight="12.5" x14ac:dyDescent="0.25"/>
  <cols>
    <col min="2" max="2" width="35.54296875" customWidth="1"/>
    <col min="3" max="3" width="10.81640625" customWidth="1"/>
    <col min="4" max="4" width="14" customWidth="1"/>
    <col min="5" max="6" width="12.453125" customWidth="1"/>
    <col min="7" max="7" width="10" customWidth="1"/>
    <col min="8" max="8" width="11.453125" customWidth="1"/>
    <col min="9" max="9" width="3.453125" customWidth="1"/>
    <col min="10" max="10" width="30.81640625" customWidth="1"/>
    <col min="11" max="11" width="13.1796875" customWidth="1"/>
    <col min="12" max="12" width="11.7265625" customWidth="1"/>
    <col min="13" max="13" width="4.1796875" customWidth="1"/>
    <col min="14" max="14" width="25.81640625" customWidth="1"/>
    <col min="15" max="15" width="6.81640625" customWidth="1"/>
    <col min="16" max="16" width="6.54296875" customWidth="1"/>
    <col min="17" max="17" width="9.7265625" customWidth="1"/>
    <col min="18" max="18" width="8.26953125" customWidth="1"/>
    <col min="19" max="19" width="7.81640625" customWidth="1"/>
    <col min="20" max="20" width="7.26953125" customWidth="1"/>
    <col min="21" max="21" width="7.81640625" customWidth="1"/>
    <col min="22" max="22" width="7.26953125" customWidth="1"/>
    <col min="23" max="23" width="6.54296875" customWidth="1"/>
    <col min="24" max="24" width="7.1796875" customWidth="1"/>
    <col min="25" max="25" width="6.26953125" customWidth="1"/>
    <col min="26" max="28" width="7.81640625" customWidth="1"/>
    <col min="29" max="29" width="8" customWidth="1"/>
    <col min="30" max="30" width="9.453125" customWidth="1"/>
    <col min="31" max="31" width="7.81640625" customWidth="1"/>
    <col min="32" max="32" width="7.54296875" customWidth="1"/>
    <col min="33" max="33" width="6.26953125" customWidth="1"/>
    <col min="34" max="35" width="7.54296875" customWidth="1"/>
  </cols>
  <sheetData>
    <row r="2" spans="2:37" ht="13.5" thickBot="1" x14ac:dyDescent="0.35">
      <c r="B2" s="223" t="s">
        <v>79</v>
      </c>
      <c r="C2" s="223"/>
      <c r="D2" s="39"/>
      <c r="E2" s="39"/>
      <c r="F2" s="39"/>
      <c r="G2" s="39"/>
      <c r="H2" s="39"/>
      <c r="I2" s="174"/>
      <c r="J2" s="39"/>
      <c r="K2" s="39"/>
      <c r="L2" s="39"/>
      <c r="M2" s="39"/>
      <c r="N2" s="39"/>
      <c r="O2" s="39" t="s">
        <v>166</v>
      </c>
      <c r="P2" s="39" t="s">
        <v>206</v>
      </c>
      <c r="Q2" s="39"/>
      <c r="R2" s="39"/>
      <c r="S2" s="39"/>
      <c r="T2" s="39"/>
      <c r="U2" s="39"/>
      <c r="V2" s="39"/>
      <c r="W2" s="39"/>
      <c r="X2" s="39"/>
      <c r="Y2" s="39"/>
      <c r="Z2" s="39"/>
      <c r="AA2" s="39"/>
      <c r="AB2" s="39"/>
      <c r="AC2" s="39"/>
      <c r="AD2" s="39"/>
      <c r="AE2" s="39"/>
      <c r="AF2" s="39"/>
      <c r="AG2" s="39"/>
      <c r="AH2" s="39"/>
      <c r="AI2" s="39"/>
    </row>
    <row r="3" spans="2:37" ht="53" thickBot="1" x14ac:dyDescent="0.4">
      <c r="B3" s="39"/>
      <c r="C3" s="39"/>
      <c r="D3" s="39"/>
      <c r="E3" s="39"/>
      <c r="F3" s="39"/>
      <c r="G3" s="39"/>
      <c r="H3" s="39"/>
      <c r="I3" s="39"/>
      <c r="J3" s="39"/>
      <c r="K3" s="39"/>
      <c r="L3" s="39"/>
      <c r="M3" s="39"/>
      <c r="N3" s="39" t="s">
        <v>264</v>
      </c>
      <c r="O3" s="426" t="s">
        <v>265</v>
      </c>
      <c r="P3" s="427"/>
      <c r="Q3" s="427"/>
      <c r="R3" s="427"/>
      <c r="S3" s="427"/>
      <c r="T3" s="428"/>
      <c r="U3" s="426" t="s">
        <v>266</v>
      </c>
      <c r="V3" s="427"/>
      <c r="W3" s="427"/>
      <c r="X3" s="427"/>
      <c r="Y3" s="427"/>
      <c r="Z3" s="428"/>
      <c r="AA3" s="39"/>
      <c r="AB3" s="201" t="s">
        <v>267</v>
      </c>
      <c r="AC3" s="204" t="s">
        <v>268</v>
      </c>
      <c r="AD3" s="204" t="s">
        <v>269</v>
      </c>
      <c r="AE3" s="229" t="s">
        <v>35</v>
      </c>
      <c r="AF3" s="229" t="s">
        <v>37</v>
      </c>
      <c r="AG3" s="229" t="s">
        <v>39</v>
      </c>
      <c r="AH3" s="229" t="s">
        <v>270</v>
      </c>
      <c r="AI3" s="230" t="s">
        <v>43</v>
      </c>
    </row>
    <row r="4" spans="2:37" ht="43" customHeight="1" thickBot="1" x14ac:dyDescent="0.4">
      <c r="B4" s="175" t="s">
        <v>271</v>
      </c>
      <c r="C4" s="176" t="s">
        <v>272</v>
      </c>
      <c r="D4" s="177" t="s">
        <v>273</v>
      </c>
      <c r="E4" s="177" t="s">
        <v>274</v>
      </c>
      <c r="F4" s="177" t="s">
        <v>275</v>
      </c>
      <c r="G4" s="177" t="s">
        <v>276</v>
      </c>
      <c r="H4" s="233" t="s">
        <v>277</v>
      </c>
      <c r="I4" s="39"/>
      <c r="J4" s="174" t="s">
        <v>278</v>
      </c>
      <c r="K4" s="178" t="s">
        <v>279</v>
      </c>
      <c r="L4" s="178"/>
      <c r="M4" s="39"/>
      <c r="N4" s="239" t="s">
        <v>33</v>
      </c>
      <c r="O4" s="429" t="s">
        <v>93</v>
      </c>
      <c r="P4" s="430"/>
      <c r="Q4" s="431" t="s">
        <v>280</v>
      </c>
      <c r="R4" s="431"/>
      <c r="S4" s="431" t="s">
        <v>281</v>
      </c>
      <c r="T4" s="432"/>
      <c r="U4" s="433" t="s">
        <v>93</v>
      </c>
      <c r="V4" s="431"/>
      <c r="W4" s="431" t="s">
        <v>280</v>
      </c>
      <c r="X4" s="431"/>
      <c r="Y4" s="431" t="s">
        <v>281</v>
      </c>
      <c r="Z4" s="432"/>
      <c r="AA4" s="39"/>
      <c r="AB4" s="203" t="s">
        <v>203</v>
      </c>
      <c r="AC4" s="205">
        <v>612.54999999999995</v>
      </c>
      <c r="AD4" s="277">
        <f t="shared" ref="AD4:AD8" si="0">(-129.5+(0.424*AC4)-((2.28*0.0001)*(AC4*AC4))-((4.56*0.00000001)*(AC4*AC4*AC4)))</f>
        <v>34.190929089269275</v>
      </c>
      <c r="AE4" s="207">
        <f t="shared" ref="AE4:AE11" si="1">((((0.829*$AC$14)+(0.078*AD4)-20.7)/100)*AC4)*($AD$14*0.01)</f>
        <v>0.81712429820639465</v>
      </c>
      <c r="AF4" s="207">
        <f t="shared" ref="AF4:AF11" si="2">((((0.829*$AC$15)+(0.078*AD4)-20.7)/100)*AC4)*($AD$15*0.01)</f>
        <v>0.33826517335639467</v>
      </c>
      <c r="AG4" s="207">
        <f t="shared" ref="AG4:AG11" si="3">((((0.829*$AC$16)+(0.078*AD4)-20.7)/100)*AC4)*($AD$16*0.01)</f>
        <v>0.17170547775639469</v>
      </c>
      <c r="AH4" s="207">
        <f t="shared" ref="AH4:AH11" si="4">((((0.829*$AC$17)+(0.078*AD4)-20.7)/100)*AC4)*($AD$17*0.01)</f>
        <v>0.94828055345589835</v>
      </c>
      <c r="AI4" s="231">
        <f t="shared" ref="AI4:AI11" si="5">((((0.829*$AC$18)+(0.078*AD4)-20.7)/100)*AC4)*($AD$18*0.01)</f>
        <v>2.7611514009923208E-3</v>
      </c>
    </row>
    <row r="5" spans="2:37" ht="15" customHeight="1" thickBot="1" x14ac:dyDescent="0.4">
      <c r="B5" s="209" t="s">
        <v>282</v>
      </c>
      <c r="C5" s="219" t="s">
        <v>206</v>
      </c>
      <c r="D5" s="236">
        <v>6</v>
      </c>
      <c r="E5" s="260" t="s">
        <v>166</v>
      </c>
      <c r="F5" s="236">
        <v>0.45</v>
      </c>
      <c r="G5" s="260" t="s">
        <v>166</v>
      </c>
      <c r="H5" s="236">
        <v>0.45</v>
      </c>
      <c r="I5" s="39"/>
      <c r="J5" s="179" t="s">
        <v>228</v>
      </c>
      <c r="K5" s="215">
        <v>0.46</v>
      </c>
      <c r="L5" s="39"/>
      <c r="M5" s="180"/>
      <c r="N5" s="202" t="s">
        <v>47</v>
      </c>
      <c r="O5" s="308">
        <v>0.77</v>
      </c>
      <c r="P5" s="309">
        <v>0.77</v>
      </c>
      <c r="Q5" s="309">
        <v>0.77</v>
      </c>
      <c r="R5" s="309">
        <v>0.77</v>
      </c>
      <c r="S5" s="309">
        <v>0.77</v>
      </c>
      <c r="T5" s="310">
        <v>0.77</v>
      </c>
      <c r="U5" s="308">
        <v>0.13</v>
      </c>
      <c r="V5" s="309">
        <v>0.14000000000000001</v>
      </c>
      <c r="W5" s="309">
        <v>0.33</v>
      </c>
      <c r="X5" s="309">
        <v>0.33</v>
      </c>
      <c r="Y5" s="309">
        <v>1.1200000000000001</v>
      </c>
      <c r="Z5" s="310">
        <v>1.1499999999999999</v>
      </c>
      <c r="AA5" s="319"/>
      <c r="AB5" s="203" t="s">
        <v>283</v>
      </c>
      <c r="AC5" s="205">
        <v>637.54999999999995</v>
      </c>
      <c r="AD5" s="277">
        <f t="shared" si="0"/>
        <v>36.329029705719307</v>
      </c>
      <c r="AE5" s="207">
        <f t="shared" si="1"/>
        <v>0.85483292904864216</v>
      </c>
      <c r="AF5" s="207">
        <f t="shared" si="2"/>
        <v>0.35643012919864242</v>
      </c>
      <c r="AG5" s="207">
        <f t="shared" si="3"/>
        <v>0.18307263359864251</v>
      </c>
      <c r="AH5" s="207">
        <f t="shared" si="4"/>
        <v>0.99017248455998208</v>
      </c>
      <c r="AI5" s="231">
        <f t="shared" si="5"/>
        <v>5.2130008773204088E-3</v>
      </c>
      <c r="AJ5" s="319"/>
      <c r="AK5" s="319"/>
    </row>
    <row r="6" spans="2:37" ht="41.5" customHeight="1" thickBot="1" x14ac:dyDescent="0.4">
      <c r="B6" s="209" t="s">
        <v>177</v>
      </c>
      <c r="C6" s="219" t="s">
        <v>166</v>
      </c>
      <c r="D6" s="236">
        <v>0.9</v>
      </c>
      <c r="E6" s="222" t="s">
        <v>166</v>
      </c>
      <c r="F6" s="236">
        <v>0.45</v>
      </c>
      <c r="G6" s="222" t="s">
        <v>166</v>
      </c>
      <c r="H6" s="181">
        <v>0.22500000000000001</v>
      </c>
      <c r="I6" s="39"/>
      <c r="J6" s="179" t="s">
        <v>65</v>
      </c>
      <c r="K6" s="215">
        <v>0.02</v>
      </c>
      <c r="L6" s="39"/>
      <c r="M6" s="180"/>
      <c r="N6" s="202" t="s">
        <v>57</v>
      </c>
      <c r="O6" s="311">
        <v>0.04</v>
      </c>
      <c r="P6" s="312">
        <v>0.04</v>
      </c>
      <c r="Q6" s="312">
        <v>0.08</v>
      </c>
      <c r="R6" s="312">
        <v>0.08</v>
      </c>
      <c r="S6" s="312">
        <v>0.34</v>
      </c>
      <c r="T6" s="313">
        <v>0.34</v>
      </c>
      <c r="U6" s="311">
        <v>7.0000000000000007E-2</v>
      </c>
      <c r="V6" s="312">
        <v>7.0000000000000007E-2</v>
      </c>
      <c r="W6" s="312">
        <v>0.15</v>
      </c>
      <c r="X6" s="312">
        <v>0.15</v>
      </c>
      <c r="Y6" s="312">
        <v>0.56000000000000005</v>
      </c>
      <c r="Z6" s="313">
        <v>0.56000000000000005</v>
      </c>
      <c r="AA6" s="169"/>
      <c r="AB6" s="203" t="s">
        <v>284</v>
      </c>
      <c r="AC6" s="205">
        <v>662.55</v>
      </c>
      <c r="AD6" s="277">
        <f t="shared" si="0"/>
        <v>38.073109272169319</v>
      </c>
      <c r="AE6" s="207">
        <f t="shared" si="1"/>
        <v>0.89204857662738568</v>
      </c>
      <c r="AF6" s="207">
        <f t="shared" si="2"/>
        <v>0.37410210177738579</v>
      </c>
      <c r="AG6" s="207">
        <f t="shared" si="3"/>
        <v>0.19394680617738583</v>
      </c>
      <c r="AH6" s="207">
        <f t="shared" si="4"/>
        <v>1.0317036962029649</v>
      </c>
      <c r="AI6" s="231">
        <f t="shared" si="5"/>
        <v>7.4003227488412269E-3</v>
      </c>
      <c r="AJ6" s="169"/>
      <c r="AK6" s="169"/>
    </row>
    <row r="7" spans="2:37" ht="15" customHeight="1" thickBot="1" x14ac:dyDescent="0.35">
      <c r="B7" s="209" t="s">
        <v>285</v>
      </c>
      <c r="C7" s="219" t="s">
        <v>166</v>
      </c>
      <c r="D7" s="236">
        <v>0.9</v>
      </c>
      <c r="E7" s="222" t="s">
        <v>166</v>
      </c>
      <c r="F7" s="236">
        <v>0.09</v>
      </c>
      <c r="G7" s="222" t="s">
        <v>166</v>
      </c>
      <c r="H7" s="181">
        <v>0.09</v>
      </c>
      <c r="I7" s="39"/>
      <c r="J7" s="179" t="s">
        <v>67</v>
      </c>
      <c r="K7" s="215">
        <v>0.02</v>
      </c>
      <c r="L7" s="39"/>
      <c r="M7" s="180"/>
      <c r="N7" s="202" t="s">
        <v>286</v>
      </c>
      <c r="O7" s="311">
        <v>0.51</v>
      </c>
      <c r="P7" s="312">
        <v>0.51</v>
      </c>
      <c r="Q7" s="312">
        <v>0.51</v>
      </c>
      <c r="R7" s="312">
        <v>0.51</v>
      </c>
      <c r="S7" s="312">
        <v>0.51</v>
      </c>
      <c r="T7" s="313">
        <v>0.51</v>
      </c>
      <c r="U7" s="311">
        <v>0.11</v>
      </c>
      <c r="V7" s="312">
        <v>0.11</v>
      </c>
      <c r="W7" s="312">
        <v>0.51</v>
      </c>
      <c r="X7" s="312">
        <v>0.51</v>
      </c>
      <c r="Y7" s="312">
        <v>0.86</v>
      </c>
      <c r="Z7" s="313">
        <v>0.87</v>
      </c>
      <c r="AA7" s="181"/>
      <c r="AB7" s="203" t="s">
        <v>287</v>
      </c>
      <c r="AC7" s="205">
        <v>687.55</v>
      </c>
      <c r="AD7" s="277">
        <f t="shared" si="0"/>
        <v>39.418892788619281</v>
      </c>
      <c r="AE7" s="207">
        <f t="shared" si="1"/>
        <v>0.92866733518833489</v>
      </c>
      <c r="AF7" s="207">
        <f t="shared" si="2"/>
        <v>0.39117718533833484</v>
      </c>
      <c r="AG7" s="207">
        <f t="shared" si="3"/>
        <v>0.20422408973833489</v>
      </c>
      <c r="AH7" s="207">
        <f t="shared" si="4"/>
        <v>1.0727981597841474</v>
      </c>
      <c r="AI7" s="231">
        <f t="shared" si="5"/>
        <v>9.2673627083748791E-3</v>
      </c>
      <c r="AJ7" s="13"/>
      <c r="AK7" s="13"/>
    </row>
    <row r="8" spans="2:37" ht="15" customHeight="1" thickBot="1" x14ac:dyDescent="0.35">
      <c r="B8" s="209" t="s">
        <v>288</v>
      </c>
      <c r="C8" s="219" t="s">
        <v>206</v>
      </c>
      <c r="D8" s="236">
        <v>6</v>
      </c>
      <c r="E8" s="222" t="s">
        <v>206</v>
      </c>
      <c r="F8" s="236">
        <v>6</v>
      </c>
      <c r="G8" s="222" t="s">
        <v>206</v>
      </c>
      <c r="H8" s="181">
        <v>6</v>
      </c>
      <c r="I8" s="39"/>
      <c r="J8" s="179" t="s">
        <v>289</v>
      </c>
      <c r="K8" s="215">
        <v>0.02</v>
      </c>
      <c r="L8" s="39"/>
      <c r="M8" s="180"/>
      <c r="N8" s="202" t="s">
        <v>214</v>
      </c>
      <c r="O8" s="311">
        <v>0.06</v>
      </c>
      <c r="P8" s="312">
        <v>0.06</v>
      </c>
      <c r="Q8" s="312">
        <v>0.28999999999999998</v>
      </c>
      <c r="R8" s="312">
        <v>0.51</v>
      </c>
      <c r="S8" s="312">
        <v>0.28999999999999998</v>
      </c>
      <c r="T8" s="313">
        <v>0.51</v>
      </c>
      <c r="U8" s="311">
        <v>0.13</v>
      </c>
      <c r="V8" s="312">
        <v>0.14000000000000001</v>
      </c>
      <c r="W8" s="312">
        <v>0.48</v>
      </c>
      <c r="X8" s="312">
        <v>0.48</v>
      </c>
      <c r="Y8" s="312">
        <v>0.83</v>
      </c>
      <c r="Z8" s="313">
        <v>0.86</v>
      </c>
      <c r="AA8" s="181"/>
      <c r="AB8" s="203" t="s">
        <v>290</v>
      </c>
      <c r="AC8" s="205">
        <v>725.05</v>
      </c>
      <c r="AD8" s="277">
        <f t="shared" si="0"/>
        <v>40.68141140704433</v>
      </c>
      <c r="AE8" s="207">
        <f t="shared" si="1"/>
        <v>0.9822456478254864</v>
      </c>
      <c r="AF8" s="207">
        <f t="shared" si="2"/>
        <v>0.41543998547548655</v>
      </c>
      <c r="AG8" s="207">
        <f t="shared" si="3"/>
        <v>0.2182901898754866</v>
      </c>
      <c r="AH8" s="207">
        <f t="shared" si="4"/>
        <v>1.1334521781771849</v>
      </c>
      <c r="AI8" s="231">
        <f t="shared" si="5"/>
        <v>1.1343626196602601E-2</v>
      </c>
      <c r="AJ8" s="13"/>
      <c r="AK8" s="13"/>
    </row>
    <row r="9" spans="2:37" ht="15" customHeight="1" thickBot="1" x14ac:dyDescent="0.35">
      <c r="B9" s="209" t="s">
        <v>291</v>
      </c>
      <c r="C9" s="219" t="s">
        <v>206</v>
      </c>
      <c r="D9" s="236">
        <v>6</v>
      </c>
      <c r="E9" s="222" t="s">
        <v>206</v>
      </c>
      <c r="F9" s="236">
        <v>6</v>
      </c>
      <c r="G9" s="222" t="s">
        <v>206</v>
      </c>
      <c r="H9" s="181">
        <v>6</v>
      </c>
      <c r="I9" s="39"/>
      <c r="J9" s="179" t="s">
        <v>71</v>
      </c>
      <c r="K9" s="215">
        <v>0</v>
      </c>
      <c r="L9" s="39"/>
      <c r="M9" s="39"/>
      <c r="N9" s="202" t="s">
        <v>292</v>
      </c>
      <c r="O9" s="311">
        <v>0.59</v>
      </c>
      <c r="P9" s="312">
        <v>0.59</v>
      </c>
      <c r="Q9" s="312">
        <v>0.59</v>
      </c>
      <c r="R9" s="312">
        <v>0.59</v>
      </c>
      <c r="S9" s="312">
        <v>0.59</v>
      </c>
      <c r="T9" s="313">
        <v>0.59</v>
      </c>
      <c r="U9" s="311">
        <v>0.12</v>
      </c>
      <c r="V9" s="312">
        <v>0.12</v>
      </c>
      <c r="W9" s="312">
        <v>0.54</v>
      </c>
      <c r="X9" s="312">
        <v>0.97</v>
      </c>
      <c r="Y9" s="312">
        <v>0.54</v>
      </c>
      <c r="Z9" s="313">
        <v>0.97</v>
      </c>
      <c r="AA9" s="181"/>
      <c r="AB9" s="203" t="s">
        <v>293</v>
      </c>
      <c r="AC9" s="205">
        <v>775.05</v>
      </c>
      <c r="AD9" s="277">
        <v>41</v>
      </c>
      <c r="AE9" s="207">
        <f t="shared" si="1"/>
        <v>1.0507717123499996</v>
      </c>
      <c r="AF9" s="207">
        <f t="shared" si="2"/>
        <v>0.44487869999999979</v>
      </c>
      <c r="AG9" s="207">
        <f t="shared" si="3"/>
        <v>0.23413330439999991</v>
      </c>
      <c r="AH9" s="207">
        <f t="shared" si="4"/>
        <v>1.2121937009999997</v>
      </c>
      <c r="AI9" s="231">
        <f t="shared" si="5"/>
        <v>1.254960960000001E-2</v>
      </c>
      <c r="AJ9" s="13"/>
      <c r="AK9" s="13"/>
    </row>
    <row r="10" spans="2:37" ht="15" customHeight="1" thickBot="1" x14ac:dyDescent="0.35">
      <c r="B10" s="218" t="s">
        <v>294</v>
      </c>
      <c r="C10" s="220" t="s">
        <v>206</v>
      </c>
      <c r="D10" s="221">
        <v>6</v>
      </c>
      <c r="E10" s="222" t="s">
        <v>206</v>
      </c>
      <c r="F10" s="236">
        <v>6</v>
      </c>
      <c r="G10" s="222" t="s">
        <v>206</v>
      </c>
      <c r="H10" s="181">
        <v>6</v>
      </c>
      <c r="I10" s="39"/>
      <c r="J10" s="179" t="s">
        <v>295</v>
      </c>
      <c r="K10" s="215">
        <v>-8</v>
      </c>
      <c r="L10" s="39"/>
      <c r="M10" s="39"/>
      <c r="N10" s="202" t="s">
        <v>51</v>
      </c>
      <c r="O10" s="311">
        <v>0.46</v>
      </c>
      <c r="P10" s="312">
        <v>0.46</v>
      </c>
      <c r="Q10" s="312">
        <v>0.46</v>
      </c>
      <c r="R10" s="312">
        <v>0.46</v>
      </c>
      <c r="S10" s="312">
        <v>0.46</v>
      </c>
      <c r="T10" s="313">
        <v>0.46</v>
      </c>
      <c r="U10" s="311">
        <v>0.1</v>
      </c>
      <c r="V10" s="312">
        <v>0.1</v>
      </c>
      <c r="W10" s="312">
        <v>0.55000000000000004</v>
      </c>
      <c r="X10" s="312">
        <v>0.55000000000000004</v>
      </c>
      <c r="Y10" s="312">
        <v>0.49</v>
      </c>
      <c r="Z10" s="313">
        <v>0.81</v>
      </c>
      <c r="AA10" s="181"/>
      <c r="AB10" s="203" t="s">
        <v>296</v>
      </c>
      <c r="AC10" s="205">
        <v>825.05</v>
      </c>
      <c r="AD10" s="277">
        <v>41</v>
      </c>
      <c r="AE10" s="207">
        <f t="shared" si="1"/>
        <v>1.1185590623499995</v>
      </c>
      <c r="AF10" s="207">
        <f t="shared" si="2"/>
        <v>0.4735786999999998</v>
      </c>
      <c r="AG10" s="207">
        <f t="shared" si="3"/>
        <v>0.2492377043999999</v>
      </c>
      <c r="AH10" s="207">
        <f t="shared" si="4"/>
        <v>1.2903947009999996</v>
      </c>
      <c r="AI10" s="231">
        <f t="shared" si="5"/>
        <v>1.335920960000001E-2</v>
      </c>
      <c r="AJ10" s="13"/>
      <c r="AK10" s="13"/>
    </row>
    <row r="11" spans="2:37" ht="15" customHeight="1" thickBot="1" x14ac:dyDescent="0.35">
      <c r="B11" s="248" t="s">
        <v>297</v>
      </c>
      <c r="C11" s="249" t="s">
        <v>206</v>
      </c>
      <c r="D11" s="250">
        <v>6</v>
      </c>
      <c r="E11" s="251" t="s">
        <v>206</v>
      </c>
      <c r="F11" s="252">
        <v>6</v>
      </c>
      <c r="G11" s="251" t="s">
        <v>206</v>
      </c>
      <c r="H11" s="181">
        <v>6</v>
      </c>
      <c r="I11" s="39"/>
      <c r="J11" s="179" t="s">
        <v>298</v>
      </c>
      <c r="K11" s="216">
        <v>0.02</v>
      </c>
      <c r="L11" s="39"/>
      <c r="M11" s="39"/>
      <c r="N11" s="202" t="s">
        <v>49</v>
      </c>
      <c r="O11" s="311">
        <v>0.05</v>
      </c>
      <c r="P11" s="312">
        <v>0.05</v>
      </c>
      <c r="Q11" s="312">
        <v>0.32</v>
      </c>
      <c r="R11" s="312">
        <v>0.32</v>
      </c>
      <c r="S11" s="312">
        <v>0.53</v>
      </c>
      <c r="T11" s="313">
        <v>0.53</v>
      </c>
      <c r="U11" s="311">
        <v>0.12</v>
      </c>
      <c r="V11" s="312">
        <v>0.12</v>
      </c>
      <c r="W11" s="312">
        <v>0.68</v>
      </c>
      <c r="X11" s="312">
        <v>0.68</v>
      </c>
      <c r="Y11" s="312">
        <v>0.93</v>
      </c>
      <c r="Z11" s="313">
        <v>0.93</v>
      </c>
      <c r="AA11" s="181"/>
      <c r="AB11" s="274" t="s">
        <v>299</v>
      </c>
      <c r="AC11" s="206">
        <v>875.05</v>
      </c>
      <c r="AD11" s="207">
        <v>41</v>
      </c>
      <c r="AE11" s="275">
        <f t="shared" si="1"/>
        <v>1.1863464123499996</v>
      </c>
      <c r="AF11" s="275">
        <f t="shared" si="2"/>
        <v>0.50227869999999974</v>
      </c>
      <c r="AG11" s="275">
        <f t="shared" si="3"/>
        <v>0.26434210439999989</v>
      </c>
      <c r="AH11" s="275">
        <f t="shared" si="4"/>
        <v>1.3685957009999998</v>
      </c>
      <c r="AI11" s="276">
        <f t="shared" si="5"/>
        <v>1.4168809600000011E-2</v>
      </c>
      <c r="AJ11" s="13"/>
      <c r="AK11" s="13"/>
    </row>
    <row r="12" spans="2:37" ht="15" customHeight="1" thickBot="1" x14ac:dyDescent="0.35">
      <c r="B12" s="253"/>
      <c r="D12" s="254"/>
      <c r="E12" s="255"/>
      <c r="F12" s="256"/>
      <c r="G12" s="257"/>
      <c r="H12" s="181"/>
      <c r="I12" s="39"/>
      <c r="J12" s="39"/>
      <c r="K12" s="181"/>
      <c r="L12" s="180"/>
      <c r="M12" s="39"/>
      <c r="N12" s="202" t="s">
        <v>63</v>
      </c>
      <c r="O12" s="311">
        <v>0.38</v>
      </c>
      <c r="P12" s="312">
        <v>0.04</v>
      </c>
      <c r="Q12" s="312">
        <v>0.38</v>
      </c>
      <c r="R12" s="312">
        <v>0.2</v>
      </c>
      <c r="S12" s="312">
        <v>0.38</v>
      </c>
      <c r="T12" s="313">
        <v>0.38</v>
      </c>
      <c r="U12" s="311">
        <v>0.09</v>
      </c>
      <c r="V12" s="312">
        <v>0.09</v>
      </c>
      <c r="W12" s="312">
        <v>0.43</v>
      </c>
      <c r="X12" s="312">
        <v>0.43</v>
      </c>
      <c r="Y12" s="312">
        <v>0.67</v>
      </c>
      <c r="Z12" s="313">
        <v>0.67</v>
      </c>
      <c r="AA12" s="181"/>
      <c r="AB12" s="39"/>
      <c r="AC12" s="39"/>
      <c r="AD12" s="181"/>
      <c r="AE12" s="181"/>
      <c r="AF12" s="181"/>
      <c r="AG12" s="181"/>
      <c r="AH12" s="181"/>
      <c r="AI12" s="181"/>
      <c r="AJ12" s="13"/>
      <c r="AK12" s="13"/>
    </row>
    <row r="13" spans="2:37" ht="15" customHeight="1" thickBot="1" x14ac:dyDescent="0.35">
      <c r="B13" s="253"/>
      <c r="D13" s="254"/>
      <c r="E13" s="255"/>
      <c r="F13" s="256"/>
      <c r="G13" s="257"/>
      <c r="H13" s="181"/>
      <c r="I13" s="39"/>
      <c r="J13" s="39"/>
      <c r="K13" s="181"/>
      <c r="L13" s="180"/>
      <c r="M13" s="39"/>
      <c r="N13" s="203" t="s">
        <v>300</v>
      </c>
      <c r="O13" s="314">
        <v>0.2</v>
      </c>
      <c r="P13" s="315">
        <v>0.2</v>
      </c>
      <c r="Q13" s="315">
        <v>0.2</v>
      </c>
      <c r="R13" s="315">
        <v>0.2</v>
      </c>
      <c r="S13" s="315">
        <v>0.2</v>
      </c>
      <c r="T13" s="316">
        <v>0.2</v>
      </c>
      <c r="U13" s="314">
        <v>0.4</v>
      </c>
      <c r="V13" s="315">
        <v>0.4</v>
      </c>
      <c r="W13" s="315">
        <v>0.4</v>
      </c>
      <c r="X13" s="315">
        <v>0.4</v>
      </c>
      <c r="Y13" s="315">
        <v>0.4</v>
      </c>
      <c r="Z13" s="316">
        <v>0.4</v>
      </c>
      <c r="AA13" s="181"/>
      <c r="AB13" s="271" t="s">
        <v>301</v>
      </c>
      <c r="AC13" s="272" t="s">
        <v>302</v>
      </c>
      <c r="AD13" s="273" t="s">
        <v>303</v>
      </c>
      <c r="AE13" s="181"/>
      <c r="AF13" s="181"/>
      <c r="AG13" s="181"/>
      <c r="AH13" s="181"/>
      <c r="AI13" s="181"/>
      <c r="AJ13" s="13"/>
      <c r="AK13" s="13"/>
    </row>
    <row r="14" spans="2:37" ht="15" customHeight="1" thickBot="1" x14ac:dyDescent="0.35">
      <c r="B14" s="258"/>
      <c r="D14" s="254"/>
      <c r="E14" s="259"/>
      <c r="F14" s="256"/>
      <c r="G14" s="257"/>
      <c r="H14" s="181"/>
      <c r="I14" s="39"/>
      <c r="J14" s="182" t="s">
        <v>304</v>
      </c>
      <c r="K14" s="183" t="s">
        <v>305</v>
      </c>
      <c r="L14" s="180"/>
      <c r="M14" s="39"/>
      <c r="O14" s="238"/>
      <c r="P14" s="238"/>
      <c r="Q14" s="18"/>
      <c r="AA14" s="181"/>
      <c r="AB14" s="202" t="s">
        <v>35</v>
      </c>
      <c r="AC14" s="205">
        <f>51+10</f>
        <v>61</v>
      </c>
      <c r="AD14" s="208">
        <v>0.41</v>
      </c>
      <c r="AE14" s="181"/>
      <c r="AF14" s="181"/>
      <c r="AG14" s="181"/>
      <c r="AH14" s="181"/>
      <c r="AI14" s="39"/>
      <c r="AJ14" s="13"/>
      <c r="AK14" s="13"/>
    </row>
    <row r="15" spans="2:37" ht="15" customHeight="1" x14ac:dyDescent="0.3">
      <c r="B15" s="297"/>
      <c r="C15" s="180"/>
      <c r="D15" s="121"/>
      <c r="E15" s="223"/>
      <c r="F15" s="224"/>
      <c r="G15" s="224"/>
      <c r="H15" s="39"/>
      <c r="I15" s="39"/>
      <c r="J15" s="184" t="s">
        <v>306</v>
      </c>
      <c r="K15" s="237" t="s">
        <v>307</v>
      </c>
      <c r="L15" s="180"/>
      <c r="M15" s="39"/>
      <c r="AA15" s="39"/>
      <c r="AB15" s="202" t="s">
        <v>37</v>
      </c>
      <c r="AC15" s="205">
        <f>28+10</f>
        <v>38</v>
      </c>
      <c r="AD15" s="208">
        <v>0.41</v>
      </c>
      <c r="AE15" s="39"/>
      <c r="AF15" s="39"/>
      <c r="AG15" s="39"/>
      <c r="AH15" s="39"/>
      <c r="AI15" s="39"/>
    </row>
    <row r="16" spans="2:37" ht="15" customHeight="1" x14ac:dyDescent="0.35">
      <c r="B16" s="297"/>
      <c r="C16" s="39"/>
      <c r="D16" s="121"/>
      <c r="E16" s="225"/>
      <c r="F16" s="224"/>
      <c r="G16" s="224"/>
      <c r="H16" s="39"/>
      <c r="I16" s="39"/>
      <c r="J16" s="184" t="s">
        <v>179</v>
      </c>
      <c r="K16" s="237" t="s">
        <v>308</v>
      </c>
      <c r="L16" s="39"/>
      <c r="M16" s="39"/>
      <c r="AB16" s="202" t="s">
        <v>39</v>
      </c>
      <c r="AC16" s="205">
        <f>20+10</f>
        <v>30</v>
      </c>
      <c r="AD16" s="208">
        <v>0.41</v>
      </c>
      <c r="AF16" s="319"/>
      <c r="AG16" s="319"/>
      <c r="AH16" s="319"/>
      <c r="AI16" s="39"/>
    </row>
    <row r="17" spans="2:35" ht="15" customHeight="1" x14ac:dyDescent="0.35">
      <c r="B17" s="297"/>
      <c r="C17" s="39"/>
      <c r="D17" s="121"/>
      <c r="E17" s="225"/>
      <c r="F17" s="224"/>
      <c r="G17" s="224"/>
      <c r="H17" s="39"/>
      <c r="I17" s="39"/>
      <c r="J17" s="184" t="s">
        <v>309</v>
      </c>
      <c r="K17" s="237" t="s">
        <v>307</v>
      </c>
      <c r="L17" s="39"/>
      <c r="M17" s="39"/>
      <c r="AB17" s="202" t="s">
        <v>270</v>
      </c>
      <c r="AC17" s="205">
        <f>74+10</f>
        <v>84</v>
      </c>
      <c r="AD17" s="208">
        <v>0.3</v>
      </c>
      <c r="AF17" s="169"/>
      <c r="AG17" s="169"/>
      <c r="AH17" s="169"/>
      <c r="AI17" s="39"/>
    </row>
    <row r="18" spans="2:35" ht="15" customHeight="1" thickBot="1" x14ac:dyDescent="0.35">
      <c r="B18" s="297"/>
      <c r="C18" s="39"/>
      <c r="D18" s="121"/>
      <c r="E18" s="225"/>
      <c r="F18" s="224"/>
      <c r="G18" s="224"/>
      <c r="H18" s="39"/>
      <c r="I18" s="39"/>
      <c r="J18" s="185" t="s">
        <v>310</v>
      </c>
      <c r="K18" s="237" t="s">
        <v>311</v>
      </c>
      <c r="L18" s="39"/>
      <c r="M18" s="39"/>
      <c r="AB18" s="203" t="s">
        <v>312</v>
      </c>
      <c r="AC18" s="206">
        <v>22</v>
      </c>
      <c r="AD18" s="270">
        <v>0.22</v>
      </c>
      <c r="AF18" s="181"/>
      <c r="AG18" s="181"/>
      <c r="AH18" s="181"/>
      <c r="AI18" s="39"/>
    </row>
    <row r="19" spans="2:35" ht="15" customHeight="1" x14ac:dyDescent="0.35">
      <c r="B19" s="297"/>
      <c r="C19" s="39"/>
      <c r="D19" s="121"/>
      <c r="E19" s="225"/>
      <c r="F19" s="224"/>
      <c r="G19" s="224"/>
      <c r="H19" s="39"/>
      <c r="I19" s="39"/>
      <c r="J19" s="184"/>
      <c r="K19" s="237"/>
      <c r="L19" s="174"/>
      <c r="M19" s="39"/>
      <c r="N19" s="39"/>
      <c r="O19" s="319"/>
      <c r="P19" s="319"/>
      <c r="Q19" s="319"/>
      <c r="R19" s="319"/>
      <c r="S19" s="319"/>
      <c r="T19" s="319"/>
      <c r="U19" s="319"/>
      <c r="V19" s="319"/>
      <c r="W19" s="319"/>
      <c r="X19" s="319"/>
      <c r="Y19" s="319"/>
      <c r="Z19" s="319"/>
      <c r="AF19" s="181"/>
      <c r="AG19" s="181"/>
      <c r="AH19" s="181"/>
      <c r="AI19" s="39"/>
    </row>
    <row r="20" spans="2:35" ht="15" customHeight="1" x14ac:dyDescent="0.35">
      <c r="B20" s="297"/>
      <c r="C20" s="39"/>
      <c r="D20" s="121"/>
      <c r="E20" s="225"/>
      <c r="F20" s="224"/>
      <c r="G20" s="224"/>
      <c r="H20" s="39"/>
      <c r="I20" s="39"/>
      <c r="L20" s="39"/>
      <c r="M20" s="39"/>
      <c r="N20" s="217"/>
      <c r="O20" s="232"/>
      <c r="P20" s="300"/>
      <c r="Q20" s="300"/>
      <c r="R20" s="300"/>
      <c r="S20" s="300"/>
      <c r="T20" s="300"/>
      <c r="U20" s="300"/>
      <c r="V20" s="300"/>
      <c r="W20" s="300"/>
      <c r="X20" s="300"/>
      <c r="Y20" s="300"/>
      <c r="Z20" s="300"/>
      <c r="AF20" s="181"/>
      <c r="AG20" s="181"/>
      <c r="AH20" s="181"/>
      <c r="AI20" s="39"/>
    </row>
    <row r="21" spans="2:35" ht="15" customHeight="1" x14ac:dyDescent="0.3">
      <c r="B21" s="226"/>
      <c r="C21" s="39"/>
      <c r="D21" s="121"/>
      <c r="E21" s="225"/>
      <c r="F21" s="224"/>
      <c r="G21" s="224"/>
      <c r="H21" s="39"/>
      <c r="I21" s="39"/>
      <c r="L21" s="39"/>
      <c r="M21" s="39"/>
      <c r="N21" s="39"/>
      <c r="O21" s="181"/>
      <c r="P21" s="181"/>
      <c r="Q21" s="181"/>
      <c r="R21" s="181"/>
      <c r="S21" s="181"/>
      <c r="T21" s="181"/>
      <c r="U21" s="181"/>
      <c r="V21" s="181"/>
      <c r="W21" s="181"/>
      <c r="X21" s="181"/>
      <c r="Y21" s="181"/>
      <c r="Z21" s="181"/>
      <c r="AF21" s="181"/>
      <c r="AG21" s="181"/>
      <c r="AH21" s="181"/>
      <c r="AI21" s="39"/>
    </row>
    <row r="22" spans="2:35" ht="15" customHeight="1" x14ac:dyDescent="0.3">
      <c r="B22" s="226"/>
      <c r="C22" s="39"/>
      <c r="D22" s="121"/>
      <c r="E22" s="225"/>
      <c r="F22" s="224"/>
      <c r="G22" s="224"/>
      <c r="H22" s="39"/>
      <c r="I22" s="39"/>
      <c r="L22" s="39"/>
      <c r="M22" s="39"/>
      <c r="N22" s="39"/>
      <c r="O22" s="181"/>
      <c r="P22" s="181"/>
      <c r="Q22" s="181"/>
      <c r="R22" s="181"/>
      <c r="S22" s="181"/>
      <c r="T22" s="181"/>
      <c r="U22" s="181"/>
      <c r="V22" s="181"/>
      <c r="W22" s="181"/>
      <c r="X22" s="181"/>
      <c r="Y22" s="181"/>
      <c r="Z22" s="181"/>
      <c r="AF22" s="181"/>
      <c r="AG22" s="181"/>
      <c r="AH22" s="181"/>
      <c r="AI22" s="39"/>
    </row>
    <row r="23" spans="2:35" ht="15" customHeight="1" x14ac:dyDescent="0.3">
      <c r="B23" s="226"/>
      <c r="C23" s="39"/>
      <c r="D23" s="121"/>
      <c r="E23" s="225"/>
      <c r="F23" s="224"/>
      <c r="G23" s="224"/>
      <c r="H23" s="39"/>
      <c r="I23" s="39"/>
      <c r="L23" s="39"/>
      <c r="M23" s="39"/>
      <c r="N23" s="39"/>
      <c r="O23" s="181"/>
      <c r="P23" s="181"/>
      <c r="Q23" s="181"/>
      <c r="R23" s="181"/>
      <c r="S23" s="181"/>
      <c r="T23" s="181"/>
      <c r="U23" s="181"/>
      <c r="V23" s="181"/>
      <c r="W23" s="181"/>
      <c r="X23" s="181"/>
      <c r="Y23" s="181"/>
      <c r="Z23" s="181"/>
      <c r="AF23" s="181"/>
      <c r="AG23" s="181"/>
      <c r="AH23" s="181"/>
      <c r="AI23" s="39"/>
    </row>
    <row r="24" spans="2:35" ht="15" customHeight="1" x14ac:dyDescent="0.3">
      <c r="B24" s="297"/>
      <c r="C24" s="39"/>
      <c r="D24" s="121"/>
      <c r="E24" s="225"/>
      <c r="F24" s="224"/>
      <c r="G24" s="224"/>
      <c r="H24" s="39"/>
      <c r="I24" s="39"/>
      <c r="L24" s="39"/>
      <c r="M24" s="39"/>
      <c r="N24" s="39"/>
      <c r="O24" s="181"/>
      <c r="P24" s="181"/>
      <c r="Q24" s="181"/>
      <c r="R24" s="181"/>
      <c r="S24" s="181"/>
      <c r="T24" s="181"/>
      <c r="U24" s="181"/>
      <c r="V24" s="181"/>
      <c r="W24" s="181"/>
      <c r="X24" s="181"/>
      <c r="Y24" s="181"/>
      <c r="Z24" s="181"/>
      <c r="AF24" s="181"/>
      <c r="AG24" s="181"/>
      <c r="AH24" s="181"/>
      <c r="AI24" s="39"/>
    </row>
    <row r="25" spans="2:35" ht="15" customHeight="1" x14ac:dyDescent="0.3">
      <c r="B25" s="297"/>
      <c r="C25" s="39"/>
      <c r="D25" s="121"/>
      <c r="E25" s="225"/>
      <c r="F25" s="224"/>
      <c r="G25" s="224"/>
      <c r="H25" s="39"/>
      <c r="I25" s="39"/>
      <c r="J25" s="39"/>
      <c r="K25" s="181"/>
      <c r="L25" s="39"/>
      <c r="M25" s="39"/>
      <c r="N25" s="39"/>
      <c r="O25" s="181"/>
      <c r="P25" s="181"/>
      <c r="Q25" s="181"/>
      <c r="R25" s="181"/>
      <c r="S25" s="181"/>
      <c r="T25" s="181"/>
      <c r="U25" s="181"/>
      <c r="V25" s="181"/>
      <c r="W25" s="181"/>
      <c r="X25" s="181"/>
      <c r="Y25" s="181"/>
      <c r="Z25" s="181"/>
      <c r="AA25" s="181"/>
      <c r="AB25" s="181"/>
      <c r="AC25" s="181"/>
      <c r="AD25" s="181"/>
      <c r="AE25" s="181"/>
      <c r="AF25" s="181"/>
      <c r="AG25" s="181"/>
      <c r="AH25" s="181"/>
      <c r="AI25" s="39"/>
    </row>
    <row r="26" spans="2:35" ht="15" customHeight="1" x14ac:dyDescent="0.3">
      <c r="B26" s="226"/>
      <c r="C26" s="39"/>
      <c r="D26" s="121"/>
      <c r="E26" s="225"/>
      <c r="F26" s="224"/>
      <c r="G26" s="224"/>
      <c r="H26" s="39"/>
      <c r="I26" s="39"/>
      <c r="J26" s="39"/>
      <c r="K26" s="181"/>
      <c r="L26" s="39"/>
      <c r="M26" s="39"/>
      <c r="N26" s="39"/>
      <c r="O26" s="181"/>
      <c r="P26" s="181"/>
      <c r="Q26" s="181"/>
      <c r="R26" s="181"/>
      <c r="S26" s="181"/>
      <c r="T26" s="181"/>
      <c r="U26" s="181"/>
      <c r="V26" s="181"/>
      <c r="W26" s="181"/>
      <c r="X26" s="181"/>
      <c r="Y26" s="181"/>
      <c r="Z26" s="181"/>
      <c r="AA26" s="39"/>
      <c r="AB26" s="39"/>
      <c r="AC26" s="39"/>
      <c r="AD26" s="39"/>
      <c r="AE26" s="39"/>
      <c r="AF26" s="39"/>
      <c r="AG26" s="39"/>
      <c r="AH26" s="39"/>
      <c r="AI26" s="39"/>
    </row>
    <row r="27" spans="2:35" ht="23.5" customHeight="1" x14ac:dyDescent="0.35">
      <c r="B27" s="297"/>
      <c r="C27" s="39"/>
      <c r="D27" s="121"/>
      <c r="E27" s="225"/>
      <c r="F27" s="224"/>
      <c r="G27" s="224"/>
      <c r="H27" s="39"/>
      <c r="I27" s="39"/>
      <c r="J27" s="39"/>
      <c r="K27" s="39"/>
      <c r="L27" s="39"/>
      <c r="M27" s="39"/>
      <c r="N27" s="39"/>
      <c r="O27" s="181"/>
      <c r="P27" s="181"/>
      <c r="Q27" s="181"/>
      <c r="R27" s="181"/>
      <c r="S27" s="181"/>
      <c r="T27" s="181"/>
      <c r="U27" s="181"/>
      <c r="V27" s="181"/>
      <c r="W27" s="181"/>
      <c r="X27" s="181"/>
      <c r="Y27" s="181"/>
      <c r="Z27" s="181"/>
      <c r="AA27" s="319"/>
      <c r="AB27" s="319"/>
      <c r="AC27" s="319"/>
      <c r="AD27" s="319"/>
      <c r="AE27" s="319"/>
      <c r="AF27" s="417"/>
      <c r="AG27" s="417"/>
      <c r="AH27" s="417"/>
      <c r="AI27" s="39"/>
    </row>
    <row r="28" spans="2:35" ht="39" customHeight="1" x14ac:dyDescent="0.35">
      <c r="B28" s="297"/>
      <c r="C28" s="39"/>
      <c r="D28" s="121"/>
      <c r="E28" s="225"/>
      <c r="F28" s="224"/>
      <c r="G28" s="224"/>
      <c r="H28" s="39"/>
      <c r="I28" s="39"/>
      <c r="J28" s="39"/>
      <c r="K28" s="39"/>
      <c r="L28" s="39"/>
      <c r="M28" s="39"/>
      <c r="N28" s="39"/>
      <c r="O28" s="181"/>
      <c r="P28" s="181"/>
      <c r="Q28" s="181"/>
      <c r="R28" s="181"/>
      <c r="S28" s="181"/>
      <c r="T28" s="181"/>
      <c r="U28" s="181"/>
      <c r="V28" s="181"/>
      <c r="W28" s="181"/>
      <c r="X28" s="181"/>
      <c r="Y28" s="181"/>
      <c r="Z28" s="181"/>
      <c r="AA28" s="169"/>
      <c r="AB28" s="169"/>
      <c r="AC28" s="169"/>
      <c r="AD28" s="169"/>
      <c r="AE28" s="169"/>
      <c r="AF28" s="169"/>
      <c r="AG28" s="169"/>
      <c r="AH28" s="169"/>
      <c r="AI28" s="39"/>
    </row>
    <row r="29" spans="2:35" ht="13" x14ac:dyDescent="0.3">
      <c r="B29" s="297"/>
      <c r="C29" s="39"/>
      <c r="D29" s="121"/>
      <c r="E29" s="225"/>
      <c r="F29" s="224"/>
      <c r="G29" s="224"/>
      <c r="H29" s="39"/>
      <c r="I29" s="39"/>
      <c r="J29" s="39"/>
      <c r="K29" s="39"/>
      <c r="L29" s="39"/>
      <c r="M29" s="39"/>
      <c r="N29" s="39"/>
      <c r="O29" s="181"/>
      <c r="P29" s="181"/>
      <c r="Q29" s="181"/>
      <c r="R29" s="181"/>
      <c r="S29" s="181"/>
      <c r="T29" s="181"/>
      <c r="U29" s="181"/>
      <c r="V29" s="181"/>
      <c r="W29" s="181"/>
      <c r="X29" s="181"/>
      <c r="Y29" s="181"/>
      <c r="Z29" s="181"/>
      <c r="AA29" s="181"/>
      <c r="AB29" s="181"/>
      <c r="AC29" s="181"/>
      <c r="AD29" s="181"/>
      <c r="AE29" s="181"/>
      <c r="AF29" s="181"/>
      <c r="AG29" s="181"/>
      <c r="AH29" s="181"/>
      <c r="AI29" s="39"/>
    </row>
    <row r="30" spans="2:35" ht="13" x14ac:dyDescent="0.3">
      <c r="B30" s="297"/>
      <c r="C30" s="39"/>
      <c r="D30" s="121"/>
      <c r="E30" s="225"/>
      <c r="F30" s="224"/>
      <c r="G30" s="224"/>
      <c r="H30" s="39"/>
      <c r="I30" s="39"/>
      <c r="J30" s="39"/>
      <c r="K30" s="39"/>
      <c r="L30" s="39"/>
      <c r="M30" s="39"/>
      <c r="N30" s="39"/>
      <c r="O30" s="181"/>
      <c r="P30" s="181"/>
      <c r="Q30" s="181"/>
      <c r="R30" s="181"/>
      <c r="S30" s="181"/>
      <c r="T30" s="181"/>
      <c r="U30" s="181"/>
      <c r="V30" s="181"/>
      <c r="W30" s="181"/>
      <c r="X30" s="181"/>
      <c r="Y30" s="181"/>
      <c r="Z30" s="181"/>
      <c r="AA30" s="181"/>
      <c r="AB30" s="181"/>
      <c r="AC30" s="181"/>
      <c r="AD30" s="181"/>
      <c r="AE30" s="181"/>
      <c r="AF30" s="181"/>
      <c r="AG30" s="181"/>
      <c r="AH30" s="181"/>
      <c r="AI30" s="39"/>
    </row>
    <row r="31" spans="2:35" ht="14.5" x14ac:dyDescent="0.35">
      <c r="B31" s="297"/>
      <c r="C31" s="39"/>
      <c r="D31" s="121"/>
      <c r="E31" s="225"/>
      <c r="F31" s="224"/>
      <c r="G31" s="224"/>
      <c r="H31" s="39"/>
      <c r="I31" s="39"/>
      <c r="J31" s="39"/>
      <c r="K31" s="39"/>
      <c r="L31" s="39"/>
      <c r="M31" s="39"/>
      <c r="N31" s="39"/>
      <c r="O31" s="417"/>
      <c r="P31" s="417"/>
      <c r="Q31" s="417"/>
      <c r="R31" s="320"/>
      <c r="S31" s="320"/>
      <c r="T31" s="320"/>
      <c r="U31" s="320"/>
      <c r="V31" s="320"/>
      <c r="W31" s="320"/>
      <c r="X31" s="320"/>
      <c r="Y31" s="320"/>
      <c r="Z31" s="320"/>
      <c r="AA31" s="181"/>
      <c r="AB31" s="181"/>
      <c r="AC31" s="181"/>
      <c r="AD31" s="181"/>
      <c r="AE31" s="181"/>
      <c r="AF31" s="181"/>
      <c r="AG31" s="181"/>
      <c r="AH31" s="181"/>
      <c r="AI31" s="39"/>
    </row>
    <row r="32" spans="2:35" ht="14.5" x14ac:dyDescent="0.35">
      <c r="B32" s="297"/>
      <c r="C32" s="39"/>
      <c r="D32" s="121"/>
      <c r="E32" s="225"/>
      <c r="F32" s="224"/>
      <c r="G32" s="224"/>
      <c r="H32" s="39"/>
      <c r="I32" s="39"/>
      <c r="J32" s="39"/>
      <c r="K32" s="39"/>
      <c r="L32" s="39"/>
      <c r="M32" s="39"/>
      <c r="N32" s="217"/>
      <c r="O32" s="232"/>
      <c r="P32" s="300"/>
      <c r="Q32" s="300"/>
      <c r="R32" s="300"/>
      <c r="S32" s="300"/>
      <c r="T32" s="300"/>
      <c r="U32" s="300"/>
      <c r="V32" s="300"/>
      <c r="W32" s="300"/>
      <c r="X32" s="300"/>
      <c r="Y32" s="300"/>
      <c r="Z32" s="300"/>
      <c r="AA32" s="181"/>
      <c r="AB32" s="181"/>
      <c r="AC32" s="181"/>
      <c r="AD32" s="181"/>
      <c r="AE32" s="181"/>
      <c r="AF32" s="181"/>
      <c r="AG32" s="181"/>
      <c r="AH32" s="181"/>
      <c r="AI32" s="39"/>
    </row>
    <row r="33" spans="2:35" ht="13" x14ac:dyDescent="0.3">
      <c r="B33" s="297"/>
      <c r="C33" s="39"/>
      <c r="D33" s="121"/>
      <c r="E33" s="225"/>
      <c r="F33" s="224"/>
      <c r="G33" s="224"/>
      <c r="H33" s="39"/>
      <c r="I33" s="39"/>
      <c r="J33" s="39"/>
      <c r="K33" s="39"/>
      <c r="L33" s="39"/>
      <c r="M33" s="39"/>
      <c r="N33" s="39"/>
      <c r="O33" s="181"/>
      <c r="P33" s="181"/>
      <c r="Q33" s="181"/>
      <c r="R33" s="181"/>
      <c r="S33" s="181"/>
      <c r="T33" s="181"/>
      <c r="U33" s="181"/>
      <c r="V33" s="181"/>
      <c r="W33" s="181"/>
      <c r="X33" s="181"/>
      <c r="Y33" s="181"/>
      <c r="Z33" s="181"/>
      <c r="AA33" s="181"/>
      <c r="AB33" s="181"/>
      <c r="AC33" s="181"/>
      <c r="AD33" s="181"/>
      <c r="AE33" s="181"/>
      <c r="AF33" s="181"/>
      <c r="AG33" s="181"/>
      <c r="AH33" s="181"/>
      <c r="AI33" s="39"/>
    </row>
    <row r="34" spans="2:35" ht="13" x14ac:dyDescent="0.3">
      <c r="B34" s="297"/>
      <c r="C34" s="39"/>
      <c r="D34" s="121"/>
      <c r="E34" s="225"/>
      <c r="F34" s="224"/>
      <c r="G34" s="224"/>
      <c r="H34" s="39"/>
      <c r="I34" s="39"/>
      <c r="J34" s="39"/>
      <c r="K34" s="39"/>
      <c r="L34" s="39"/>
      <c r="M34" s="39"/>
      <c r="N34" s="39"/>
      <c r="O34" s="181"/>
      <c r="P34" s="181"/>
      <c r="Q34" s="181"/>
      <c r="R34" s="181"/>
      <c r="S34" s="181"/>
      <c r="T34" s="181"/>
      <c r="U34" s="181"/>
      <c r="V34" s="181"/>
      <c r="W34" s="181"/>
      <c r="X34" s="181"/>
      <c r="Y34" s="181"/>
      <c r="Z34" s="181"/>
      <c r="AA34" s="181"/>
      <c r="AB34" s="181"/>
      <c r="AC34" s="181"/>
      <c r="AD34" s="181"/>
      <c r="AE34" s="181"/>
      <c r="AF34" s="181"/>
      <c r="AG34" s="181"/>
      <c r="AH34" s="181"/>
      <c r="AI34" s="39"/>
    </row>
    <row r="35" spans="2:35" ht="13" x14ac:dyDescent="0.3">
      <c r="B35" s="297"/>
      <c r="C35" s="39"/>
      <c r="D35" s="121"/>
      <c r="E35" s="225"/>
      <c r="F35" s="224"/>
      <c r="G35" s="224"/>
      <c r="H35" s="39"/>
      <c r="I35" s="39"/>
      <c r="J35" s="39"/>
      <c r="K35" s="39"/>
      <c r="L35" s="39"/>
      <c r="M35" s="39"/>
      <c r="N35" s="39"/>
      <c r="O35" s="181"/>
      <c r="P35" s="181"/>
      <c r="Q35" s="181"/>
      <c r="R35" s="181"/>
      <c r="S35" s="181"/>
      <c r="T35" s="181"/>
      <c r="U35" s="181"/>
      <c r="V35" s="181"/>
      <c r="W35" s="181"/>
      <c r="X35" s="181"/>
      <c r="Y35" s="181"/>
      <c r="Z35" s="181"/>
      <c r="AA35" s="181"/>
      <c r="AB35" s="181"/>
      <c r="AC35" s="181"/>
      <c r="AD35" s="181"/>
      <c r="AE35" s="181"/>
      <c r="AF35" s="181"/>
      <c r="AG35" s="181"/>
      <c r="AH35" s="181"/>
      <c r="AI35" s="39"/>
    </row>
    <row r="36" spans="2:35" ht="13" x14ac:dyDescent="0.3">
      <c r="B36" s="297"/>
      <c r="C36" s="39"/>
      <c r="D36" s="121"/>
      <c r="E36" s="225"/>
      <c r="F36" s="224"/>
      <c r="G36" s="224"/>
      <c r="H36" s="39"/>
      <c r="I36" s="39"/>
      <c r="J36" s="39"/>
      <c r="K36" s="39"/>
      <c r="L36" s="39"/>
      <c r="M36" s="39"/>
      <c r="N36" s="39"/>
      <c r="O36" s="181"/>
      <c r="P36" s="181"/>
      <c r="Q36" s="181"/>
      <c r="R36" s="181"/>
      <c r="S36" s="181"/>
      <c r="T36" s="181"/>
      <c r="U36" s="181"/>
      <c r="V36" s="181"/>
      <c r="W36" s="181"/>
      <c r="X36" s="181"/>
      <c r="Y36" s="181"/>
      <c r="Z36" s="181"/>
      <c r="AA36" s="181"/>
      <c r="AB36" s="181"/>
      <c r="AC36" s="181"/>
      <c r="AD36" s="181"/>
      <c r="AE36" s="181"/>
      <c r="AF36" s="181"/>
      <c r="AG36" s="181"/>
      <c r="AH36" s="181"/>
      <c r="AI36" s="39"/>
    </row>
    <row r="37" spans="2:35" ht="13" x14ac:dyDescent="0.3">
      <c r="B37" s="297"/>
      <c r="C37" s="39"/>
      <c r="D37" s="121"/>
      <c r="E37" s="225"/>
      <c r="F37" s="224"/>
      <c r="G37" s="224"/>
      <c r="H37" s="39"/>
      <c r="I37" s="39"/>
      <c r="J37" s="39"/>
      <c r="K37" s="39"/>
      <c r="L37" s="39"/>
      <c r="M37" s="39"/>
      <c r="N37" s="39"/>
      <c r="O37" s="181"/>
      <c r="P37" s="181"/>
      <c r="Q37" s="181"/>
      <c r="R37" s="181"/>
      <c r="S37" s="181"/>
      <c r="T37" s="181"/>
      <c r="U37" s="181"/>
      <c r="V37" s="181"/>
      <c r="W37" s="181"/>
      <c r="X37" s="181"/>
      <c r="Y37" s="181"/>
      <c r="Z37" s="181"/>
      <c r="AA37" s="39"/>
      <c r="AB37" s="39"/>
      <c r="AC37" s="39"/>
      <c r="AD37" s="39"/>
      <c r="AE37" s="39"/>
      <c r="AF37" s="39"/>
      <c r="AG37" s="39"/>
      <c r="AH37" s="39"/>
      <c r="AI37" s="39"/>
    </row>
    <row r="38" spans="2:35" ht="13" x14ac:dyDescent="0.3">
      <c r="B38" s="297"/>
      <c r="C38" s="39"/>
      <c r="D38" s="121"/>
      <c r="E38" s="225"/>
      <c r="F38" s="224"/>
      <c r="G38" s="224"/>
      <c r="H38" s="39"/>
      <c r="I38" s="39"/>
      <c r="J38" s="39"/>
      <c r="K38" s="39"/>
      <c r="L38" s="39"/>
      <c r="N38" s="39"/>
      <c r="O38" s="181"/>
      <c r="P38" s="181"/>
      <c r="Q38" s="181"/>
      <c r="R38" s="181"/>
      <c r="S38" s="181"/>
      <c r="T38" s="181"/>
      <c r="U38" s="181"/>
      <c r="V38" s="181"/>
      <c r="W38" s="181"/>
      <c r="X38" s="181"/>
      <c r="Y38" s="181"/>
      <c r="Z38" s="181"/>
      <c r="AH38" s="39"/>
      <c r="AI38" s="39"/>
    </row>
    <row r="39" spans="2:35" ht="27.65" customHeight="1" x14ac:dyDescent="0.3">
      <c r="B39" s="297"/>
      <c r="C39" s="39"/>
      <c r="D39" s="121"/>
      <c r="E39" s="225"/>
      <c r="F39" s="224"/>
      <c r="G39" s="224"/>
      <c r="H39" s="39"/>
      <c r="I39" s="39"/>
      <c r="J39" s="39"/>
      <c r="K39" s="39"/>
      <c r="L39" s="39"/>
      <c r="N39" s="39"/>
      <c r="O39" s="181"/>
      <c r="P39" s="181"/>
      <c r="Q39" s="181"/>
      <c r="R39" s="181"/>
      <c r="S39" s="181"/>
      <c r="T39" s="181"/>
      <c r="U39" s="181"/>
      <c r="V39" s="181"/>
      <c r="W39" s="181"/>
      <c r="X39" s="181"/>
      <c r="Y39" s="181"/>
      <c r="Z39" s="181"/>
      <c r="AA39" s="39"/>
    </row>
    <row r="40" spans="2:35" ht="13" x14ac:dyDescent="0.3">
      <c r="B40" s="297"/>
      <c r="C40" s="39"/>
      <c r="D40" s="121"/>
      <c r="E40" s="225"/>
      <c r="F40" s="224"/>
      <c r="G40" s="224"/>
      <c r="H40" s="39"/>
      <c r="I40" s="39"/>
      <c r="J40" s="39"/>
      <c r="K40" s="39"/>
      <c r="L40" s="39"/>
      <c r="N40" s="39"/>
      <c r="O40" s="181"/>
      <c r="P40" s="181"/>
      <c r="Q40" s="181"/>
      <c r="R40" s="181"/>
      <c r="S40" s="181"/>
      <c r="T40" s="181"/>
      <c r="U40" s="181"/>
      <c r="V40" s="181"/>
      <c r="W40" s="181"/>
      <c r="X40" s="181"/>
      <c r="Y40" s="181"/>
      <c r="Z40" s="181"/>
      <c r="AA40" s="39"/>
    </row>
    <row r="41" spans="2:35" ht="13" x14ac:dyDescent="0.3">
      <c r="B41" s="297"/>
      <c r="C41" s="39"/>
      <c r="D41" s="121"/>
      <c r="E41" s="225"/>
      <c r="F41" s="224"/>
      <c r="G41" s="224"/>
      <c r="H41" s="39"/>
      <c r="I41" s="39"/>
      <c r="J41" s="39"/>
      <c r="K41" s="39"/>
      <c r="L41" s="39"/>
      <c r="N41" s="39"/>
      <c r="O41" s="181"/>
      <c r="P41" s="181"/>
      <c r="Q41" s="181"/>
      <c r="R41" s="181"/>
      <c r="S41" s="181"/>
      <c r="T41" s="181"/>
      <c r="U41" s="181"/>
      <c r="V41" s="181"/>
      <c r="W41" s="181"/>
      <c r="X41" s="181"/>
      <c r="Y41" s="181"/>
      <c r="Z41" s="181"/>
      <c r="AA41" s="39"/>
    </row>
    <row r="42" spans="2:35" ht="13" x14ac:dyDescent="0.3">
      <c r="B42" s="297"/>
      <c r="C42" s="39"/>
      <c r="D42" s="121"/>
      <c r="E42" s="225"/>
      <c r="F42" s="224"/>
      <c r="G42" s="224"/>
      <c r="H42" s="39"/>
      <c r="I42" s="39"/>
      <c r="J42" s="39"/>
      <c r="K42" s="39"/>
      <c r="L42" s="39"/>
      <c r="N42" s="39"/>
      <c r="P42" s="181"/>
      <c r="AA42" s="39"/>
    </row>
    <row r="43" spans="2:35" ht="13" x14ac:dyDescent="0.3">
      <c r="B43" s="297"/>
      <c r="C43" s="39"/>
      <c r="D43" s="121"/>
      <c r="E43" s="225"/>
      <c r="F43" s="224"/>
      <c r="G43" s="224"/>
      <c r="H43" s="39"/>
      <c r="I43" s="39"/>
      <c r="J43" s="39"/>
      <c r="K43" s="39"/>
      <c r="L43" s="39"/>
    </row>
    <row r="44" spans="2:35" ht="13" x14ac:dyDescent="0.3">
      <c r="B44" s="297"/>
      <c r="C44" s="39"/>
      <c r="D44" s="121"/>
      <c r="E44" s="225"/>
      <c r="F44" s="224"/>
      <c r="G44" s="224"/>
      <c r="H44" s="39"/>
      <c r="I44" s="39"/>
      <c r="J44" s="39"/>
      <c r="K44" s="39"/>
      <c r="L44" s="39"/>
    </row>
    <row r="45" spans="2:35" ht="13" x14ac:dyDescent="0.3">
      <c r="B45" s="297"/>
      <c r="C45" s="39"/>
      <c r="D45" s="121"/>
      <c r="E45" s="225"/>
      <c r="F45" s="224"/>
      <c r="G45" s="224"/>
      <c r="H45" s="39"/>
      <c r="I45" s="39"/>
      <c r="J45" s="39"/>
      <c r="K45" s="39"/>
      <c r="L45" s="39"/>
    </row>
    <row r="46" spans="2:35" ht="13" x14ac:dyDescent="0.3">
      <c r="B46" s="297"/>
      <c r="C46" s="39"/>
      <c r="D46" s="121"/>
      <c r="E46" s="225"/>
      <c r="F46" s="224"/>
      <c r="G46" s="224"/>
      <c r="H46" s="39"/>
      <c r="I46" s="39"/>
      <c r="J46" s="39"/>
      <c r="K46" s="39"/>
      <c r="L46" s="39"/>
    </row>
    <row r="47" spans="2:35" ht="13" x14ac:dyDescent="0.3">
      <c r="B47" s="297"/>
      <c r="C47" s="39"/>
      <c r="D47" s="121"/>
      <c r="E47" s="225"/>
      <c r="F47" s="224"/>
      <c r="G47" s="224"/>
      <c r="H47" s="39"/>
      <c r="I47" s="39"/>
      <c r="J47" s="39"/>
      <c r="K47" s="39"/>
      <c r="L47" s="39"/>
    </row>
    <row r="48" spans="2:35" ht="13" x14ac:dyDescent="0.3">
      <c r="B48" s="297"/>
      <c r="C48" s="39"/>
      <c r="D48" s="121"/>
      <c r="E48" s="225"/>
      <c r="F48" s="224"/>
      <c r="G48" s="224"/>
      <c r="H48" s="39"/>
      <c r="I48" s="39"/>
      <c r="J48" s="39"/>
      <c r="K48" s="39"/>
      <c r="L48" s="39"/>
      <c r="AB48" s="39"/>
      <c r="AC48" s="39"/>
      <c r="AD48" s="39"/>
      <c r="AE48" s="39"/>
      <c r="AF48" s="39"/>
      <c r="AG48" s="39"/>
      <c r="AH48" s="39"/>
      <c r="AI48" s="39"/>
    </row>
    <row r="49" spans="2:35" ht="13" x14ac:dyDescent="0.3">
      <c r="B49" s="297"/>
      <c r="C49" s="39"/>
      <c r="D49" s="121"/>
      <c r="E49" s="225"/>
      <c r="F49" s="224"/>
      <c r="G49" s="224"/>
      <c r="H49" s="39"/>
      <c r="I49" s="39"/>
      <c r="J49" s="39"/>
      <c r="K49" s="39"/>
      <c r="L49" s="39"/>
      <c r="AB49" s="39"/>
      <c r="AC49" s="39"/>
      <c r="AD49" s="39"/>
      <c r="AE49" s="39"/>
      <c r="AF49" s="39"/>
      <c r="AG49" s="39"/>
      <c r="AH49" s="39"/>
      <c r="AI49" s="39"/>
    </row>
    <row r="50" spans="2:35" ht="13" x14ac:dyDescent="0.3">
      <c r="B50" s="297"/>
      <c r="C50" s="39"/>
      <c r="D50" s="121"/>
      <c r="E50" s="225"/>
      <c r="F50" s="224"/>
      <c r="G50" s="224"/>
      <c r="H50" s="39"/>
      <c r="I50" s="39"/>
      <c r="J50" s="39"/>
      <c r="K50" s="39"/>
      <c r="L50" s="39"/>
      <c r="AB50" s="39"/>
      <c r="AC50" s="39"/>
      <c r="AD50" s="39"/>
      <c r="AE50" s="39"/>
      <c r="AF50" s="39"/>
      <c r="AG50" s="39"/>
      <c r="AH50" s="39"/>
      <c r="AI50" s="39"/>
    </row>
    <row r="51" spans="2:35" ht="13" x14ac:dyDescent="0.3">
      <c r="B51" s="297"/>
      <c r="C51" s="39"/>
      <c r="D51" s="121"/>
      <c r="E51" s="225"/>
      <c r="F51" s="224"/>
      <c r="G51" s="224"/>
      <c r="H51" s="39"/>
      <c r="I51" s="39"/>
      <c r="J51" s="39"/>
      <c r="K51" s="39"/>
      <c r="L51" s="39"/>
      <c r="AB51" s="39"/>
      <c r="AC51" s="39"/>
      <c r="AD51" s="39"/>
      <c r="AE51" s="39"/>
      <c r="AF51" s="39"/>
      <c r="AG51" s="39"/>
      <c r="AH51" s="39"/>
      <c r="AI51" s="39"/>
    </row>
    <row r="52" spans="2:35" ht="13" x14ac:dyDescent="0.3">
      <c r="B52" s="297"/>
      <c r="C52" s="39"/>
      <c r="D52" s="121"/>
      <c r="E52" s="225"/>
      <c r="F52" s="224"/>
      <c r="G52" s="224"/>
      <c r="H52" s="39"/>
      <c r="I52" s="39"/>
      <c r="J52" s="39"/>
      <c r="K52" s="39"/>
      <c r="L52" s="39"/>
      <c r="AB52" s="39"/>
      <c r="AC52" s="39"/>
      <c r="AD52" s="39"/>
      <c r="AE52" s="39"/>
      <c r="AF52" s="39"/>
      <c r="AG52" s="39"/>
      <c r="AH52" s="39"/>
      <c r="AI52" s="39"/>
    </row>
    <row r="53" spans="2:35" ht="13" x14ac:dyDescent="0.3">
      <c r="B53" s="297"/>
      <c r="C53" s="39"/>
      <c r="D53" s="121"/>
      <c r="E53" s="225"/>
      <c r="F53" s="224"/>
      <c r="G53" s="224"/>
      <c r="H53" s="39"/>
      <c r="I53" s="39"/>
      <c r="J53" s="39"/>
      <c r="K53" s="39"/>
      <c r="L53" s="39"/>
      <c r="M53" s="39"/>
      <c r="N53" s="39"/>
      <c r="O53" s="39"/>
      <c r="P53" s="39"/>
      <c r="Q53" s="39"/>
      <c r="R53" s="39"/>
      <c r="S53" s="39"/>
      <c r="T53" s="39"/>
      <c r="U53" s="39"/>
      <c r="V53" s="39"/>
      <c r="W53" s="39"/>
      <c r="X53" s="39"/>
      <c r="Y53" s="39"/>
      <c r="Z53" s="39"/>
      <c r="AB53" s="39"/>
      <c r="AC53" s="39"/>
      <c r="AD53" s="39"/>
      <c r="AE53" s="39"/>
      <c r="AF53" s="39"/>
      <c r="AG53" s="39"/>
      <c r="AH53" s="39"/>
      <c r="AI53" s="39"/>
    </row>
    <row r="54" spans="2:35" ht="13" x14ac:dyDescent="0.3">
      <c r="B54" s="297"/>
      <c r="C54" s="39"/>
      <c r="D54" s="121"/>
      <c r="E54" s="225"/>
      <c r="F54" s="224"/>
      <c r="G54" s="224"/>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row>
    <row r="55" spans="2:35" ht="13" x14ac:dyDescent="0.3">
      <c r="B55" s="297"/>
      <c r="C55" s="39"/>
      <c r="D55" s="121"/>
      <c r="E55" s="225"/>
      <c r="F55" s="224"/>
      <c r="G55" s="224"/>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row>
    <row r="56" spans="2:35" ht="13" x14ac:dyDescent="0.3">
      <c r="B56" s="297"/>
      <c r="C56" s="39"/>
      <c r="D56" s="121"/>
      <c r="E56" s="225"/>
      <c r="F56" s="224"/>
      <c r="G56" s="224"/>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row>
    <row r="57" spans="2:35" ht="13" x14ac:dyDescent="0.3">
      <c r="B57" s="297"/>
      <c r="C57" s="39"/>
      <c r="D57" s="121"/>
      <c r="E57" s="225"/>
      <c r="F57" s="224"/>
      <c r="G57" s="224"/>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row>
    <row r="58" spans="2:35" ht="13" x14ac:dyDescent="0.3">
      <c r="B58" s="297"/>
      <c r="C58" s="39"/>
      <c r="D58" s="121"/>
      <c r="E58" s="225"/>
      <c r="F58" s="224"/>
      <c r="G58" s="224"/>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row>
    <row r="59" spans="2:35" ht="13" x14ac:dyDescent="0.3">
      <c r="B59" s="297"/>
      <c r="C59" s="39"/>
      <c r="D59" s="121"/>
      <c r="E59" s="225"/>
      <c r="F59" s="224"/>
      <c r="G59" s="224"/>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row>
    <row r="60" spans="2:35" ht="13" x14ac:dyDescent="0.3">
      <c r="B60" s="297"/>
      <c r="C60" s="39"/>
      <c r="D60" s="121"/>
      <c r="E60" s="225"/>
      <c r="F60" s="224"/>
      <c r="G60" s="224"/>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row>
    <row r="61" spans="2:35" ht="13" x14ac:dyDescent="0.3">
      <c r="B61" s="297"/>
      <c r="C61" s="39"/>
      <c r="D61" s="121"/>
      <c r="E61" s="225"/>
      <c r="F61" s="224"/>
      <c r="G61" s="224"/>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row>
    <row r="62" spans="2:35" ht="13" x14ac:dyDescent="0.3">
      <c r="B62" s="297"/>
      <c r="C62" s="39"/>
      <c r="D62" s="121"/>
      <c r="E62" s="225"/>
      <c r="F62" s="227"/>
      <c r="G62" s="227"/>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row>
    <row r="63" spans="2:35" ht="13" x14ac:dyDescent="0.3">
      <c r="B63" s="297"/>
      <c r="C63" s="39"/>
      <c r="D63" s="121"/>
      <c r="E63" s="225"/>
      <c r="F63" s="224"/>
      <c r="G63" s="224"/>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row>
    <row r="64" spans="2:35" ht="13" x14ac:dyDescent="0.3">
      <c r="B64" s="297"/>
      <c r="C64" s="39"/>
      <c r="D64" s="121"/>
      <c r="E64" s="225"/>
      <c r="F64" s="224"/>
      <c r="G64" s="224"/>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row>
    <row r="65" spans="2:35" ht="13" x14ac:dyDescent="0.3">
      <c r="B65" s="297"/>
      <c r="C65" s="39"/>
      <c r="D65" s="121"/>
      <c r="E65" s="225"/>
      <c r="F65" s="224"/>
      <c r="G65" s="224"/>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row>
    <row r="66" spans="2:35" ht="13" x14ac:dyDescent="0.3">
      <c r="B66" s="297"/>
      <c r="C66" s="39"/>
      <c r="D66" s="121"/>
      <c r="E66" s="225"/>
      <c r="F66" s="224"/>
      <c r="G66" s="224"/>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row>
    <row r="67" spans="2:35" ht="13" x14ac:dyDescent="0.3">
      <c r="B67" s="297"/>
      <c r="C67" s="39"/>
      <c r="D67" s="121"/>
      <c r="E67" s="225"/>
      <c r="F67" s="224"/>
      <c r="G67" s="224"/>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row>
    <row r="68" spans="2:35" ht="13" x14ac:dyDescent="0.3">
      <c r="B68" s="297"/>
      <c r="C68" s="39"/>
      <c r="D68" s="121"/>
      <c r="E68" s="225"/>
      <c r="F68" s="224"/>
      <c r="G68" s="224"/>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row>
    <row r="69" spans="2:35" ht="13" x14ac:dyDescent="0.3">
      <c r="B69" s="297"/>
      <c r="C69" s="39"/>
      <c r="D69" s="121"/>
      <c r="E69" s="225"/>
      <c r="F69" s="224"/>
      <c r="G69" s="224"/>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row>
    <row r="70" spans="2:35" ht="13" x14ac:dyDescent="0.3">
      <c r="B70" s="297"/>
      <c r="C70" s="39"/>
      <c r="D70" s="121"/>
      <c r="E70" s="225"/>
      <c r="F70" s="227"/>
      <c r="G70" s="227"/>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row>
    <row r="71" spans="2:35" ht="13" x14ac:dyDescent="0.3">
      <c r="B71" s="297"/>
      <c r="C71" s="39"/>
      <c r="D71" s="121"/>
      <c r="E71" s="225"/>
      <c r="F71" s="224"/>
      <c r="G71" s="224"/>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row>
    <row r="72" spans="2:35" ht="13" x14ac:dyDescent="0.3">
      <c r="B72" s="297"/>
      <c r="C72" s="39"/>
      <c r="D72" s="121"/>
      <c r="E72" s="225"/>
      <c r="F72" s="227"/>
      <c r="G72" s="227"/>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row>
    <row r="73" spans="2:35" ht="13" x14ac:dyDescent="0.3">
      <c r="B73" s="297"/>
      <c r="C73" s="39"/>
      <c r="D73" s="121"/>
      <c r="E73" s="225"/>
      <c r="F73" s="224"/>
      <c r="G73" s="224"/>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row>
    <row r="74" spans="2:35" ht="13" x14ac:dyDescent="0.3">
      <c r="B74" s="297"/>
      <c r="C74" s="39"/>
      <c r="D74" s="121"/>
      <c r="E74" s="225"/>
      <c r="F74" s="224"/>
      <c r="G74" s="224"/>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row>
    <row r="75" spans="2:35" ht="13" x14ac:dyDescent="0.3">
      <c r="B75" s="297"/>
      <c r="C75" s="39"/>
      <c r="D75" s="121"/>
      <c r="E75" s="225"/>
      <c r="F75" s="224"/>
      <c r="G75" s="224"/>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row>
    <row r="76" spans="2:35" ht="13" x14ac:dyDescent="0.3">
      <c r="B76" s="297"/>
      <c r="C76" s="39"/>
      <c r="D76" s="121"/>
      <c r="E76" s="225"/>
      <c r="F76" s="224"/>
      <c r="G76" s="224"/>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row>
    <row r="77" spans="2:35" ht="13" x14ac:dyDescent="0.3">
      <c r="B77" s="297"/>
      <c r="C77" s="39"/>
      <c r="D77" s="121"/>
      <c r="E77" s="225"/>
      <c r="F77" s="224"/>
      <c r="G77" s="224"/>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row>
    <row r="78" spans="2:35" ht="13" x14ac:dyDescent="0.3">
      <c r="B78" s="297"/>
      <c r="C78" s="39"/>
      <c r="D78" s="121"/>
      <c r="E78" s="225"/>
      <c r="F78" s="224"/>
      <c r="G78" s="224"/>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row>
    <row r="79" spans="2:35" ht="13" x14ac:dyDescent="0.3">
      <c r="B79" s="297"/>
      <c r="C79" s="39"/>
      <c r="D79" s="121"/>
      <c r="E79" s="225"/>
      <c r="F79" s="224"/>
      <c r="G79" s="224"/>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row>
    <row r="80" spans="2:35" ht="13" x14ac:dyDescent="0.3">
      <c r="B80" s="297"/>
      <c r="C80" s="39"/>
      <c r="D80" s="121"/>
      <c r="E80" s="225"/>
      <c r="F80" s="227"/>
      <c r="G80" s="227"/>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row>
    <row r="81" spans="2:35" ht="13" x14ac:dyDescent="0.3">
      <c r="B81" s="297"/>
      <c r="C81" s="39"/>
      <c r="D81" s="121"/>
      <c r="E81" s="225"/>
      <c r="F81" s="227"/>
      <c r="G81" s="227"/>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row>
    <row r="82" spans="2:35" ht="13" x14ac:dyDescent="0.3">
      <c r="B82" s="297"/>
      <c r="C82" s="39"/>
      <c r="D82" s="228"/>
      <c r="E82" s="225"/>
      <c r="F82" s="225"/>
      <c r="G82" s="225"/>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row>
    <row r="83" spans="2:35" ht="13" x14ac:dyDescent="0.3">
      <c r="B83" s="297"/>
      <c r="C83" s="39"/>
      <c r="D83" s="228"/>
      <c r="E83" s="225"/>
      <c r="F83" s="225"/>
      <c r="G83" s="225"/>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row>
    <row r="84" spans="2:35" ht="13" x14ac:dyDescent="0.3">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row>
    <row r="85" spans="2:35" ht="13" x14ac:dyDescent="0.3">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row>
    <row r="86" spans="2:35" ht="13" x14ac:dyDescent="0.3">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row>
    <row r="87" spans="2:35" ht="13" x14ac:dyDescent="0.3">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row>
    <row r="88" spans="2:35" ht="13" x14ac:dyDescent="0.3">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row>
    <row r="89" spans="2:35" ht="13" x14ac:dyDescent="0.3">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row>
    <row r="90" spans="2:35" ht="13" x14ac:dyDescent="0.3">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row>
    <row r="91" spans="2:35" ht="13" x14ac:dyDescent="0.3">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row>
    <row r="92" spans="2:35" ht="13" x14ac:dyDescent="0.3">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row>
    <row r="93" spans="2:35" ht="13" x14ac:dyDescent="0.3">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row>
    <row r="94" spans="2:35" ht="13" x14ac:dyDescent="0.3">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row>
    <row r="95" spans="2:35" ht="13" x14ac:dyDescent="0.3">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row>
    <row r="96" spans="2:35" ht="13" x14ac:dyDescent="0.3">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row>
    <row r="97" spans="2:35" ht="13" x14ac:dyDescent="0.3">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row>
    <row r="98" spans="2:35" ht="13" x14ac:dyDescent="0.3">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row>
    <row r="99" spans="2:35" ht="13" x14ac:dyDescent="0.3">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row>
    <row r="100" spans="2:35" ht="13" x14ac:dyDescent="0.3">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row>
    <row r="101" spans="2:35" ht="13" x14ac:dyDescent="0.3">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row>
    <row r="102" spans="2:35" ht="13" x14ac:dyDescent="0.3">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row>
    <row r="103" spans="2:35" ht="13" x14ac:dyDescent="0.3">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row>
    <row r="104" spans="2:35" ht="13" x14ac:dyDescent="0.3">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row>
    <row r="105" spans="2:35" ht="13" x14ac:dyDescent="0.3">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row>
    <row r="106" spans="2:35" ht="13" x14ac:dyDescent="0.3">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row>
    <row r="107" spans="2:35" ht="13" x14ac:dyDescent="0.3">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row>
    <row r="108" spans="2:35" ht="13" x14ac:dyDescent="0.3">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row>
    <row r="109" spans="2:35" ht="13" x14ac:dyDescent="0.3">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row>
    <row r="110" spans="2:35" ht="13" x14ac:dyDescent="0.3">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2:35" ht="13" x14ac:dyDescent="0.3">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row>
    <row r="112" spans="2:35" ht="13" x14ac:dyDescent="0.3">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row>
    <row r="113" spans="2:35" ht="13" x14ac:dyDescent="0.3">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row>
    <row r="114" spans="2:35" ht="13" x14ac:dyDescent="0.3">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row>
    <row r="115" spans="2:35" ht="13" x14ac:dyDescent="0.3">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row>
    <row r="116" spans="2:35" ht="13" x14ac:dyDescent="0.3">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row>
    <row r="117" spans="2:35" ht="13" x14ac:dyDescent="0.3">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row>
    <row r="118" spans="2:35" ht="13" x14ac:dyDescent="0.3">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row>
    <row r="119" spans="2:35" ht="13" x14ac:dyDescent="0.3">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row>
    <row r="120" spans="2:35" ht="13" x14ac:dyDescent="0.3">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row>
    <row r="121" spans="2:35" ht="13" x14ac:dyDescent="0.3">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row>
    <row r="122" spans="2:35" ht="13" x14ac:dyDescent="0.3">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row>
    <row r="123" spans="2:35" ht="13" x14ac:dyDescent="0.3">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row>
    <row r="124" spans="2:35" ht="13" x14ac:dyDescent="0.3">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row>
    <row r="125" spans="2:35" ht="13" x14ac:dyDescent="0.3">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row>
    <row r="126" spans="2:35" ht="13" x14ac:dyDescent="0.3">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row>
    <row r="127" spans="2:35" ht="13" x14ac:dyDescent="0.3">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row>
    <row r="128" spans="2:35" ht="13" x14ac:dyDescent="0.3">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row>
    <row r="129" spans="2:35" ht="13" x14ac:dyDescent="0.3">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row>
    <row r="130" spans="2:35" ht="13" x14ac:dyDescent="0.3">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row>
    <row r="131" spans="2:35" ht="13" x14ac:dyDescent="0.3">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row>
    <row r="132" spans="2:35" ht="13" x14ac:dyDescent="0.3">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row>
    <row r="133" spans="2:35" ht="13" x14ac:dyDescent="0.3">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row>
    <row r="134" spans="2:35" ht="13" x14ac:dyDescent="0.3">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row>
    <row r="135" spans="2:35" ht="13" x14ac:dyDescent="0.3">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row>
    <row r="136" spans="2:35" ht="13" x14ac:dyDescent="0.3">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row>
    <row r="137" spans="2:35" ht="13" x14ac:dyDescent="0.3">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row>
    <row r="138" spans="2:35" ht="13" x14ac:dyDescent="0.3">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row>
    <row r="139" spans="2:35" ht="13" x14ac:dyDescent="0.3">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row>
    <row r="140" spans="2:35" ht="13" x14ac:dyDescent="0.3">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row>
    <row r="141" spans="2:35" ht="13" x14ac:dyDescent="0.3">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row>
    <row r="142" spans="2:35" ht="13" x14ac:dyDescent="0.3">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row>
    <row r="143" spans="2:35" ht="13" x14ac:dyDescent="0.3">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row>
    <row r="144" spans="2:35" ht="13" x14ac:dyDescent="0.3">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row>
    <row r="145" spans="2:35" ht="13" x14ac:dyDescent="0.3">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row>
    <row r="146" spans="2:35" ht="13" x14ac:dyDescent="0.3">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row>
    <row r="147" spans="2:35" ht="13" x14ac:dyDescent="0.3">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row>
    <row r="148" spans="2:35" ht="13" x14ac:dyDescent="0.3">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row>
    <row r="149" spans="2:35" ht="13" x14ac:dyDescent="0.3">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row>
    <row r="150" spans="2:35" ht="13" x14ac:dyDescent="0.3">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row>
    <row r="151" spans="2:35" ht="13" x14ac:dyDescent="0.3">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row>
    <row r="152" spans="2:35" ht="13" x14ac:dyDescent="0.3">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row>
    <row r="153" spans="2:35" ht="13" x14ac:dyDescent="0.3">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row>
    <row r="154" spans="2:35" ht="13" x14ac:dyDescent="0.3">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row>
    <row r="155" spans="2:35" ht="13" x14ac:dyDescent="0.3">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row>
    <row r="156" spans="2:35" ht="13" x14ac:dyDescent="0.3">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row>
    <row r="157" spans="2:35" ht="13" x14ac:dyDescent="0.3">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row>
    <row r="158" spans="2:35" ht="13" x14ac:dyDescent="0.3">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row>
    <row r="159" spans="2:35" ht="13" x14ac:dyDescent="0.3">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row>
    <row r="160" spans="2:35" ht="13" x14ac:dyDescent="0.3">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row>
    <row r="161" spans="2:35" ht="13" x14ac:dyDescent="0.3">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row>
    <row r="162" spans="2:35" ht="13" x14ac:dyDescent="0.3">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row>
    <row r="163" spans="2:35" ht="13" x14ac:dyDescent="0.3">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row>
    <row r="164" spans="2:35" ht="13" x14ac:dyDescent="0.3">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row>
    <row r="165" spans="2:35" ht="13" x14ac:dyDescent="0.3">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row>
    <row r="166" spans="2:35" ht="13" x14ac:dyDescent="0.3">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row>
    <row r="167" spans="2:35" ht="13" x14ac:dyDescent="0.3">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13" x14ac:dyDescent="0.3">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row>
    <row r="169" spans="2:35" ht="13" x14ac:dyDescent="0.3">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row>
    <row r="170" spans="2:35" ht="13" x14ac:dyDescent="0.3">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row>
    <row r="171" spans="2:35" ht="13" x14ac:dyDescent="0.3">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row>
    <row r="172" spans="2:35" ht="13" x14ac:dyDescent="0.3">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row>
    <row r="173" spans="2:35" ht="13" x14ac:dyDescent="0.3">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row>
    <row r="174" spans="2:35" ht="13" x14ac:dyDescent="0.3">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row>
    <row r="175" spans="2:35" ht="13" x14ac:dyDescent="0.3">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row>
    <row r="176" spans="2:35" ht="13" x14ac:dyDescent="0.3">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row>
    <row r="177" spans="2:35" ht="13" x14ac:dyDescent="0.3">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row>
    <row r="178" spans="2:35" ht="13" x14ac:dyDescent="0.3">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row>
    <row r="179" spans="2:35" ht="13" x14ac:dyDescent="0.3">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row>
    <row r="180" spans="2:35" ht="13" x14ac:dyDescent="0.3">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row>
    <row r="181" spans="2:35" ht="13" x14ac:dyDescent="0.3">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row>
    <row r="182" spans="2:35" ht="13" x14ac:dyDescent="0.3">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row>
    <row r="183" spans="2:35" ht="13" x14ac:dyDescent="0.3">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row>
    <row r="184" spans="2:35" ht="13" x14ac:dyDescent="0.3">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row>
    <row r="185" spans="2:35" ht="13" x14ac:dyDescent="0.3">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row>
    <row r="186" spans="2:35" ht="13" x14ac:dyDescent="0.3">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row>
    <row r="187" spans="2:35" ht="13" x14ac:dyDescent="0.3">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row>
    <row r="188" spans="2:35" ht="13" x14ac:dyDescent="0.3">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row>
    <row r="189" spans="2:35" ht="13" x14ac:dyDescent="0.3">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row>
    <row r="190" spans="2:35" ht="13" x14ac:dyDescent="0.3">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row>
    <row r="191" spans="2:35" ht="13" x14ac:dyDescent="0.3">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row>
    <row r="192" spans="2:35" ht="13" x14ac:dyDescent="0.3">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row>
    <row r="193" spans="2:35" ht="13" x14ac:dyDescent="0.3">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row>
    <row r="194" spans="2:35" ht="13" x14ac:dyDescent="0.3">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row>
    <row r="195" spans="2:35" ht="13" x14ac:dyDescent="0.3">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row>
    <row r="196" spans="2:35" ht="13" x14ac:dyDescent="0.3">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row>
    <row r="197" spans="2:35" ht="13" x14ac:dyDescent="0.3">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row>
    <row r="198" spans="2:35" ht="13" x14ac:dyDescent="0.3">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row>
    <row r="199" spans="2:35" ht="13" x14ac:dyDescent="0.3">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row>
    <row r="200" spans="2:35" ht="13" x14ac:dyDescent="0.3">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row>
    <row r="201" spans="2:35" ht="13" x14ac:dyDescent="0.3">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13" x14ac:dyDescent="0.3">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row>
    <row r="203" spans="2:35" ht="13" x14ac:dyDescent="0.3">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row>
    <row r="204" spans="2:35" ht="13" x14ac:dyDescent="0.3">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row>
    <row r="205" spans="2:35" ht="13" x14ac:dyDescent="0.3">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row>
    <row r="206" spans="2:35" ht="13" x14ac:dyDescent="0.3">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row>
    <row r="207" spans="2:35" ht="13" x14ac:dyDescent="0.3">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row>
    <row r="208" spans="2:35" ht="13" x14ac:dyDescent="0.3">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row>
    <row r="209" spans="2:35" ht="13" x14ac:dyDescent="0.3">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row>
    <row r="210" spans="2:35" ht="13" x14ac:dyDescent="0.3">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row>
    <row r="211" spans="2:35" ht="13" x14ac:dyDescent="0.3">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row>
    <row r="212" spans="2:35" ht="13" x14ac:dyDescent="0.3">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row>
    <row r="213" spans="2:35" ht="13" x14ac:dyDescent="0.3">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row>
    <row r="214" spans="2:35" ht="13" x14ac:dyDescent="0.3">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row>
    <row r="215" spans="2:35" ht="13" x14ac:dyDescent="0.3">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row>
    <row r="216" spans="2:35" ht="13" x14ac:dyDescent="0.3">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row>
    <row r="217" spans="2:35" ht="13" x14ac:dyDescent="0.3">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row>
    <row r="218" spans="2:35" ht="13" x14ac:dyDescent="0.3">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row>
    <row r="219" spans="2:35" ht="13" x14ac:dyDescent="0.3">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row>
    <row r="220" spans="2:35" ht="13" x14ac:dyDescent="0.3">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row>
    <row r="221" spans="2:35" ht="13" x14ac:dyDescent="0.3">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row>
    <row r="222" spans="2:35" ht="13" x14ac:dyDescent="0.3">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row>
    <row r="223" spans="2:35" ht="13" x14ac:dyDescent="0.3">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row>
    <row r="224" spans="2:35" ht="13" x14ac:dyDescent="0.3">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row>
    <row r="225" spans="2:35" ht="13" x14ac:dyDescent="0.3">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row>
    <row r="226" spans="2:35" ht="13" x14ac:dyDescent="0.3">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row>
    <row r="227" spans="2:35" ht="13" x14ac:dyDescent="0.3">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row>
    <row r="228" spans="2:35" ht="13" x14ac:dyDescent="0.3">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row>
    <row r="229" spans="2:35" ht="13" x14ac:dyDescent="0.3">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row>
    <row r="230" spans="2:35" ht="13" x14ac:dyDescent="0.3">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row>
    <row r="231" spans="2:35" ht="13" x14ac:dyDescent="0.3">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row>
    <row r="232" spans="2:35" ht="13" x14ac:dyDescent="0.3">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row>
    <row r="233" spans="2:35" ht="13" x14ac:dyDescent="0.3">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row>
    <row r="234" spans="2:35" ht="13" x14ac:dyDescent="0.3">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row>
    <row r="235" spans="2:35" ht="13" x14ac:dyDescent="0.3">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row>
    <row r="236" spans="2:35" ht="13" x14ac:dyDescent="0.3">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row>
    <row r="237" spans="2:35" ht="13" x14ac:dyDescent="0.3">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row>
    <row r="238" spans="2:35" ht="13" x14ac:dyDescent="0.3">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row>
    <row r="239" spans="2:35" ht="13" x14ac:dyDescent="0.3">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row>
    <row r="240" spans="2:35" ht="13" x14ac:dyDescent="0.3">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row>
    <row r="241" spans="2:35" ht="13" x14ac:dyDescent="0.3">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row>
    <row r="242" spans="2:35" ht="13" x14ac:dyDescent="0.3">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row>
    <row r="243" spans="2:35" ht="13" x14ac:dyDescent="0.3">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row>
    <row r="244" spans="2:35" ht="13" x14ac:dyDescent="0.3">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row>
    <row r="245" spans="2:35" ht="13" x14ac:dyDescent="0.3">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row>
    <row r="246" spans="2:35" ht="13" x14ac:dyDescent="0.3">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row>
    <row r="247" spans="2:35" ht="13" x14ac:dyDescent="0.3">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row>
    <row r="248" spans="2:35" ht="13" x14ac:dyDescent="0.3">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row>
    <row r="249" spans="2:35" ht="13" x14ac:dyDescent="0.3">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row>
    <row r="250" spans="2:35" ht="13" x14ac:dyDescent="0.3">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row>
    <row r="251" spans="2:35" ht="13" x14ac:dyDescent="0.3">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row>
    <row r="252" spans="2:35" ht="13" x14ac:dyDescent="0.3">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row>
    <row r="253" spans="2:35" ht="13" x14ac:dyDescent="0.3">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row>
    <row r="254" spans="2:35" ht="13" x14ac:dyDescent="0.3">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row>
    <row r="255" spans="2:35" ht="13" x14ac:dyDescent="0.3">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row>
    <row r="256" spans="2:35" ht="13" x14ac:dyDescent="0.3">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row>
    <row r="257" spans="2:35" ht="13" x14ac:dyDescent="0.3">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row>
    <row r="258" spans="2:35" ht="13" x14ac:dyDescent="0.3">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row>
    <row r="259" spans="2:35" ht="13" x14ac:dyDescent="0.3">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row>
    <row r="260" spans="2:35" ht="13" x14ac:dyDescent="0.3">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row>
    <row r="261" spans="2:35" ht="13" x14ac:dyDescent="0.3">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row>
    <row r="262" spans="2:35" ht="13" x14ac:dyDescent="0.3">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row>
    <row r="263" spans="2:35" ht="13" x14ac:dyDescent="0.3">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row>
    <row r="264" spans="2:35" ht="13" x14ac:dyDescent="0.3">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row>
    <row r="265" spans="2:35" ht="13" x14ac:dyDescent="0.3">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row>
    <row r="266" spans="2:35" ht="13" x14ac:dyDescent="0.3">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row>
    <row r="267" spans="2:35" ht="13" x14ac:dyDescent="0.3">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row>
    <row r="268" spans="2:35" ht="13" x14ac:dyDescent="0.3">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row>
    <row r="269" spans="2:35" ht="13" x14ac:dyDescent="0.3">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row>
    <row r="270" spans="2:35" ht="13" x14ac:dyDescent="0.3">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row>
    <row r="271" spans="2:35" ht="13" x14ac:dyDescent="0.3">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row>
    <row r="272" spans="2:35" ht="13" x14ac:dyDescent="0.3">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row>
    <row r="273" spans="2:35" ht="13" x14ac:dyDescent="0.3">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row>
    <row r="274" spans="2:35" ht="13" x14ac:dyDescent="0.3">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row>
    <row r="275" spans="2:35" ht="13" x14ac:dyDescent="0.3">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row>
    <row r="276" spans="2:35" ht="13" x14ac:dyDescent="0.3">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row>
    <row r="277" spans="2:35" ht="13" x14ac:dyDescent="0.3">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row>
    <row r="278" spans="2:35" ht="13" x14ac:dyDescent="0.3">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row>
    <row r="279" spans="2:35" ht="13" x14ac:dyDescent="0.3">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row>
    <row r="280" spans="2:35" ht="13" x14ac:dyDescent="0.3">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row>
    <row r="281" spans="2:35" ht="13" x14ac:dyDescent="0.3">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row>
    <row r="282" spans="2:35" ht="13" x14ac:dyDescent="0.3">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row>
    <row r="283" spans="2:35" ht="13" x14ac:dyDescent="0.3">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row>
    <row r="284" spans="2:35" ht="13" x14ac:dyDescent="0.3">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row>
    <row r="285" spans="2:35" ht="13" x14ac:dyDescent="0.3">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row>
    <row r="286" spans="2:35" ht="13" x14ac:dyDescent="0.3">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row>
    <row r="287" spans="2:35" ht="13" x14ac:dyDescent="0.3">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row>
    <row r="288" spans="2:35" ht="13" x14ac:dyDescent="0.3">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row>
    <row r="289" spans="2:35" ht="13" x14ac:dyDescent="0.3">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row>
    <row r="290" spans="2:35" ht="13" x14ac:dyDescent="0.3">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row>
    <row r="291" spans="2:35" ht="13" x14ac:dyDescent="0.3">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row>
    <row r="292" spans="2:35" ht="13" x14ac:dyDescent="0.3">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row>
    <row r="293" spans="2:35" ht="13" x14ac:dyDescent="0.3">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row>
    <row r="294" spans="2:35" ht="13" x14ac:dyDescent="0.3">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row>
    <row r="295" spans="2:35" ht="13" x14ac:dyDescent="0.3">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row>
    <row r="296" spans="2:35" ht="13" x14ac:dyDescent="0.3">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row>
    <row r="297" spans="2:35" ht="13" x14ac:dyDescent="0.3">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row>
    <row r="298" spans="2:35" ht="13" x14ac:dyDescent="0.3">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row>
    <row r="299" spans="2:35" ht="13" x14ac:dyDescent="0.3">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row>
    <row r="300" spans="2:35" ht="13" x14ac:dyDescent="0.3">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row>
    <row r="301" spans="2:35" ht="13" x14ac:dyDescent="0.3">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row>
    <row r="302" spans="2:35" ht="13" x14ac:dyDescent="0.3">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row>
    <row r="303" spans="2:35" ht="13" x14ac:dyDescent="0.3">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row>
    <row r="304" spans="2:35" ht="13" x14ac:dyDescent="0.3">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row>
    <row r="305" spans="2:35" ht="13" x14ac:dyDescent="0.3">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row>
    <row r="306" spans="2:35" ht="13" x14ac:dyDescent="0.3">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row>
    <row r="307" spans="2:35" ht="13" x14ac:dyDescent="0.3">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row>
    <row r="308" spans="2:35" ht="13" x14ac:dyDescent="0.3">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row>
    <row r="309" spans="2:35" ht="13" x14ac:dyDescent="0.3">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row>
    <row r="310" spans="2:35" ht="13" x14ac:dyDescent="0.3">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row>
    <row r="311" spans="2:35" ht="13" x14ac:dyDescent="0.3">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row>
    <row r="312" spans="2:35" ht="13" x14ac:dyDescent="0.3">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row>
    <row r="313" spans="2:35" ht="13" x14ac:dyDescent="0.3">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row>
    <row r="314" spans="2:35" ht="13" x14ac:dyDescent="0.3">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row>
    <row r="315" spans="2:35" ht="13" x14ac:dyDescent="0.3">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row>
    <row r="316" spans="2:35" ht="13" x14ac:dyDescent="0.3">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row>
    <row r="317" spans="2:35" ht="13" x14ac:dyDescent="0.3">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row>
    <row r="318" spans="2:35" ht="13" x14ac:dyDescent="0.3">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row>
    <row r="319" spans="2:35" ht="13" x14ac:dyDescent="0.3">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row>
    <row r="320" spans="2:35" ht="13" x14ac:dyDescent="0.3">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row>
    <row r="321" spans="2:35" ht="13" x14ac:dyDescent="0.3">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row>
    <row r="322" spans="2:35" ht="13" x14ac:dyDescent="0.3">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row>
    <row r="323" spans="2:35" ht="13" x14ac:dyDescent="0.3">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row>
    <row r="324" spans="2:35" ht="13" x14ac:dyDescent="0.3">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row>
    <row r="325" spans="2:35" ht="13" x14ac:dyDescent="0.3">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row>
    <row r="326" spans="2:35" ht="13" x14ac:dyDescent="0.3">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row>
    <row r="327" spans="2:35" ht="13" x14ac:dyDescent="0.3">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row>
    <row r="328" spans="2:35" ht="13" x14ac:dyDescent="0.3">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row>
    <row r="329" spans="2:35" ht="13" x14ac:dyDescent="0.3">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row>
    <row r="330" spans="2:35" ht="13" x14ac:dyDescent="0.3">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row>
    <row r="331" spans="2:35" ht="13" x14ac:dyDescent="0.3">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row>
    <row r="332" spans="2:35" ht="13" x14ac:dyDescent="0.3">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row>
    <row r="333" spans="2:35" ht="13" x14ac:dyDescent="0.3">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row>
    <row r="334" spans="2:35" ht="13" x14ac:dyDescent="0.3">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row>
    <row r="335" spans="2:35" ht="13" x14ac:dyDescent="0.3">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row>
    <row r="336" spans="2:35" ht="13" x14ac:dyDescent="0.3">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row>
    <row r="337" spans="2:35" ht="13" x14ac:dyDescent="0.3">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row>
    <row r="338" spans="2:35" ht="13" x14ac:dyDescent="0.3">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row>
    <row r="339" spans="2:35" ht="13" x14ac:dyDescent="0.3">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row>
    <row r="340" spans="2:35" ht="13" x14ac:dyDescent="0.3">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row>
    <row r="341" spans="2:35" ht="13" x14ac:dyDescent="0.3">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row>
    <row r="342" spans="2:35" ht="13" x14ac:dyDescent="0.3">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row>
    <row r="343" spans="2:35" ht="13" x14ac:dyDescent="0.3">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row>
    <row r="344" spans="2:35" ht="13" x14ac:dyDescent="0.3">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row>
    <row r="345" spans="2:35" ht="13" x14ac:dyDescent="0.3">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row>
    <row r="346" spans="2:35" ht="13" x14ac:dyDescent="0.3">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row>
    <row r="347" spans="2:35" ht="13" x14ac:dyDescent="0.3">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row>
    <row r="348" spans="2:35" ht="13" x14ac:dyDescent="0.3">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row>
    <row r="349" spans="2:35" ht="13" x14ac:dyDescent="0.3">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row>
    <row r="350" spans="2:35" ht="13" x14ac:dyDescent="0.3">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row>
    <row r="351" spans="2:35" ht="13" x14ac:dyDescent="0.3">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row>
    <row r="352" spans="2:35" ht="13" x14ac:dyDescent="0.3">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row>
    <row r="353" spans="2:35" ht="13" x14ac:dyDescent="0.3">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row>
    <row r="354" spans="2:35" ht="13" x14ac:dyDescent="0.3">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row>
    <row r="355" spans="2:35" ht="13" x14ac:dyDescent="0.3">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row>
    <row r="356" spans="2:35" ht="13" x14ac:dyDescent="0.3">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row>
    <row r="357" spans="2:35" ht="13" x14ac:dyDescent="0.3">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row>
    <row r="358" spans="2:35" ht="13" x14ac:dyDescent="0.3">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row>
    <row r="359" spans="2:35" ht="13" x14ac:dyDescent="0.3">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row>
    <row r="360" spans="2:35" ht="13" x14ac:dyDescent="0.3">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row>
    <row r="361" spans="2:35" ht="13" x14ac:dyDescent="0.3">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row>
    <row r="362" spans="2:35" ht="13" x14ac:dyDescent="0.3">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row>
    <row r="363" spans="2:35" ht="13" x14ac:dyDescent="0.3">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row>
    <row r="364" spans="2:35" ht="13" x14ac:dyDescent="0.3">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row>
    <row r="365" spans="2:35" ht="13" x14ac:dyDescent="0.3">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row>
    <row r="366" spans="2:35" ht="13" x14ac:dyDescent="0.3">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row>
    <row r="367" spans="2:35" ht="13" x14ac:dyDescent="0.3">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row>
    <row r="368" spans="2:35" ht="13" x14ac:dyDescent="0.3">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row>
    <row r="369" spans="2:35" ht="13" x14ac:dyDescent="0.3">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row>
    <row r="370" spans="2:35" ht="13" x14ac:dyDescent="0.3">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row>
    <row r="371" spans="2:35" ht="13" x14ac:dyDescent="0.3">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row>
    <row r="372" spans="2:35" ht="13" x14ac:dyDescent="0.3">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row>
    <row r="373" spans="2:35" ht="13" x14ac:dyDescent="0.3">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row>
    <row r="374" spans="2:35" ht="13" x14ac:dyDescent="0.3">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row>
    <row r="375" spans="2:35" ht="13" x14ac:dyDescent="0.3">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row>
    <row r="376" spans="2:35" ht="13" x14ac:dyDescent="0.3">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row>
    <row r="377" spans="2:35" ht="13" x14ac:dyDescent="0.3">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row>
    <row r="378" spans="2:35" ht="13" x14ac:dyDescent="0.3">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row>
    <row r="379" spans="2:35" ht="13" x14ac:dyDescent="0.3">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row>
    <row r="380" spans="2:35" ht="13" x14ac:dyDescent="0.3">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row>
    <row r="381" spans="2:35" ht="13" x14ac:dyDescent="0.3">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row>
    <row r="382" spans="2:35" ht="13" x14ac:dyDescent="0.3">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row>
    <row r="383" spans="2:35" ht="13" x14ac:dyDescent="0.3">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row>
    <row r="384" spans="2:35" ht="13" x14ac:dyDescent="0.3">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row>
    <row r="385" spans="2:35" ht="13" x14ac:dyDescent="0.3">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row>
    <row r="386" spans="2:35" ht="13" x14ac:dyDescent="0.3">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row>
    <row r="387" spans="2:35" ht="13" x14ac:dyDescent="0.3">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row>
    <row r="388" spans="2:35" ht="13" x14ac:dyDescent="0.3">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row>
    <row r="389" spans="2:35" ht="13" x14ac:dyDescent="0.3">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row>
    <row r="390" spans="2:35" ht="13" x14ac:dyDescent="0.3">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row>
    <row r="391" spans="2:35" ht="13" x14ac:dyDescent="0.3">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row>
    <row r="392" spans="2:35" ht="13" x14ac:dyDescent="0.3">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row>
    <row r="393" spans="2:35" ht="13" x14ac:dyDescent="0.3">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row>
    <row r="394" spans="2:35" ht="13" x14ac:dyDescent="0.3">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row>
    <row r="395" spans="2:35" ht="13" x14ac:dyDescent="0.3">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row>
    <row r="396" spans="2:35" ht="13" x14ac:dyDescent="0.3">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row>
    <row r="397" spans="2:35" ht="13" x14ac:dyDescent="0.3">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row>
    <row r="398" spans="2:35" ht="13" x14ac:dyDescent="0.3">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row>
    <row r="399" spans="2:35" ht="13" x14ac:dyDescent="0.3">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row>
    <row r="400" spans="2:35" ht="13" x14ac:dyDescent="0.3">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row>
    <row r="401" spans="2:35" ht="13" x14ac:dyDescent="0.3">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row>
    <row r="402" spans="2:35" ht="13" x14ac:dyDescent="0.3">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row>
    <row r="403" spans="2:35" ht="13" x14ac:dyDescent="0.3">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row>
    <row r="404" spans="2:35" ht="13" x14ac:dyDescent="0.3">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row>
    <row r="405" spans="2:35" ht="13" x14ac:dyDescent="0.3">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row>
    <row r="406" spans="2:35" ht="13" x14ac:dyDescent="0.3">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row>
    <row r="407" spans="2:35" ht="13" x14ac:dyDescent="0.3">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row>
    <row r="408" spans="2:35" ht="13" x14ac:dyDescent="0.3">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row>
    <row r="409" spans="2:35" ht="13" x14ac:dyDescent="0.3">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row>
    <row r="410" spans="2:35" ht="13" x14ac:dyDescent="0.3">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row>
    <row r="411" spans="2:35" ht="13" x14ac:dyDescent="0.3">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row>
    <row r="412" spans="2:35" ht="13" x14ac:dyDescent="0.3">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row>
    <row r="413" spans="2:35" ht="13" x14ac:dyDescent="0.3">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row>
    <row r="414" spans="2:35" ht="13" x14ac:dyDescent="0.3">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row>
    <row r="415" spans="2:35" ht="13" x14ac:dyDescent="0.3">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row>
    <row r="416" spans="2:35" ht="13" x14ac:dyDescent="0.3">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row>
    <row r="417" spans="2:35" ht="13" x14ac:dyDescent="0.3">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row>
    <row r="418" spans="2:35" ht="13" x14ac:dyDescent="0.3">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row>
    <row r="419" spans="2:35" ht="13" x14ac:dyDescent="0.3">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row>
    <row r="420" spans="2:35" ht="13" x14ac:dyDescent="0.3">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row>
    <row r="421" spans="2:35" ht="13" x14ac:dyDescent="0.3">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row>
    <row r="422" spans="2:35" ht="13" x14ac:dyDescent="0.3">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row>
    <row r="423" spans="2:35" ht="13" x14ac:dyDescent="0.3">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row>
    <row r="424" spans="2:35" ht="13" x14ac:dyDescent="0.3">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row>
    <row r="425" spans="2:35" ht="13" x14ac:dyDescent="0.3">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row>
    <row r="426" spans="2:35" ht="13" x14ac:dyDescent="0.3">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row>
    <row r="427" spans="2:35" ht="13" x14ac:dyDescent="0.3">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row>
    <row r="428" spans="2:35" ht="13" x14ac:dyDescent="0.3">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row>
    <row r="429" spans="2:35" ht="13" x14ac:dyDescent="0.3">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row>
    <row r="430" spans="2:35" ht="13" x14ac:dyDescent="0.3">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row>
    <row r="431" spans="2:35" ht="13" x14ac:dyDescent="0.3">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row>
    <row r="432" spans="2:35" ht="13" x14ac:dyDescent="0.3">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row>
    <row r="433" spans="2:35" ht="13" x14ac:dyDescent="0.3">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row>
    <row r="434" spans="2:35" ht="13" x14ac:dyDescent="0.3">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row>
    <row r="435" spans="2:35" ht="13" x14ac:dyDescent="0.3">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row>
    <row r="436" spans="2:35" ht="13" x14ac:dyDescent="0.3">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row>
    <row r="437" spans="2:35" ht="13" x14ac:dyDescent="0.3">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row>
    <row r="438" spans="2:35" ht="13" x14ac:dyDescent="0.3">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row>
    <row r="439" spans="2:35" ht="13" x14ac:dyDescent="0.3">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row>
    <row r="440" spans="2:35" ht="13" x14ac:dyDescent="0.3">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row>
    <row r="441" spans="2:35" ht="13" x14ac:dyDescent="0.3">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row>
    <row r="442" spans="2:35" ht="13" x14ac:dyDescent="0.3">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row>
    <row r="443" spans="2:35" ht="13" x14ac:dyDescent="0.3">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row>
    <row r="444" spans="2:35" ht="13" x14ac:dyDescent="0.3">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row>
    <row r="445" spans="2:35" ht="13" x14ac:dyDescent="0.3">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row>
    <row r="446" spans="2:35" ht="13" x14ac:dyDescent="0.3">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row>
    <row r="447" spans="2:35" ht="13" x14ac:dyDescent="0.3">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row>
    <row r="448" spans="2:35" ht="13" x14ac:dyDescent="0.3">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row>
    <row r="449" spans="2:35" ht="13" x14ac:dyDescent="0.3">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row>
    <row r="450" spans="2:35" ht="13" x14ac:dyDescent="0.3">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row>
    <row r="451" spans="2:35" ht="13" x14ac:dyDescent="0.3">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row>
    <row r="452" spans="2:35" ht="13" x14ac:dyDescent="0.3">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row>
    <row r="453" spans="2:35" ht="13" x14ac:dyDescent="0.3">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row>
    <row r="454" spans="2:35" ht="13" x14ac:dyDescent="0.3">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row>
    <row r="455" spans="2:35" ht="13" x14ac:dyDescent="0.3">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row>
    <row r="456" spans="2:35" ht="13" x14ac:dyDescent="0.3">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row>
    <row r="457" spans="2:35" ht="13" x14ac:dyDescent="0.3">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row>
    <row r="458" spans="2:35" ht="13" x14ac:dyDescent="0.3">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row>
    <row r="459" spans="2:35" ht="13" x14ac:dyDescent="0.3">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row>
    <row r="460" spans="2:35" ht="13" x14ac:dyDescent="0.3">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row>
    <row r="461" spans="2:35" ht="13" x14ac:dyDescent="0.3">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row>
    <row r="462" spans="2:35" ht="13" x14ac:dyDescent="0.3">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row>
    <row r="463" spans="2:35" ht="13" x14ac:dyDescent="0.3">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row>
    <row r="464" spans="2:35" ht="13" x14ac:dyDescent="0.3">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row>
    <row r="465" spans="2:35" ht="13" x14ac:dyDescent="0.3">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row>
    <row r="466" spans="2:35" ht="13" x14ac:dyDescent="0.3">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row>
    <row r="467" spans="2:35" ht="13" x14ac:dyDescent="0.3">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row>
    <row r="468" spans="2:35" ht="13" x14ac:dyDescent="0.3">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row>
    <row r="469" spans="2:35" ht="13" x14ac:dyDescent="0.3">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row>
    <row r="470" spans="2:35" ht="13" x14ac:dyDescent="0.3">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row>
    <row r="471" spans="2:35" ht="13" x14ac:dyDescent="0.3">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row>
    <row r="472" spans="2:35" ht="13" x14ac:dyDescent="0.3">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row>
    <row r="473" spans="2:35" ht="13" x14ac:dyDescent="0.3">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row>
    <row r="474" spans="2:35" ht="13" x14ac:dyDescent="0.3">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row>
    <row r="475" spans="2:35" ht="13" x14ac:dyDescent="0.3">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row>
    <row r="476" spans="2:35" ht="13" x14ac:dyDescent="0.3">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row>
    <row r="477" spans="2:35" ht="13" x14ac:dyDescent="0.3">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row>
    <row r="478" spans="2:35" ht="13" x14ac:dyDescent="0.3">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row>
    <row r="479" spans="2:35" ht="13" x14ac:dyDescent="0.3">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row>
    <row r="480" spans="2:35" ht="13" x14ac:dyDescent="0.3">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row>
    <row r="481" spans="2:35" ht="13" x14ac:dyDescent="0.3">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row>
    <row r="482" spans="2:35" ht="13" x14ac:dyDescent="0.3">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row>
    <row r="483" spans="2:35" ht="13" x14ac:dyDescent="0.3">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row>
    <row r="484" spans="2:35" ht="13" x14ac:dyDescent="0.3">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row>
    <row r="485" spans="2:35" ht="13" x14ac:dyDescent="0.3">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row>
    <row r="486" spans="2:35" ht="13" x14ac:dyDescent="0.3">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row>
    <row r="487" spans="2:35" ht="13" x14ac:dyDescent="0.3">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row>
    <row r="488" spans="2:35" ht="13" x14ac:dyDescent="0.3">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row>
    <row r="489" spans="2:35" ht="13" x14ac:dyDescent="0.3">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row>
    <row r="490" spans="2:35" ht="13" x14ac:dyDescent="0.3">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row>
    <row r="491" spans="2:35" ht="13" x14ac:dyDescent="0.3">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row>
    <row r="492" spans="2:35" ht="13" x14ac:dyDescent="0.3">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row>
    <row r="493" spans="2:35" ht="13" x14ac:dyDescent="0.3">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row>
    <row r="494" spans="2:35" ht="13" x14ac:dyDescent="0.3">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row>
    <row r="495" spans="2:35" ht="13" x14ac:dyDescent="0.3">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row>
    <row r="496" spans="2:35" ht="13" x14ac:dyDescent="0.3">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row>
    <row r="497" spans="2:35" ht="13" x14ac:dyDescent="0.3">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row>
    <row r="498" spans="2:35" ht="13" x14ac:dyDescent="0.3">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row>
    <row r="499" spans="2:35" ht="13" x14ac:dyDescent="0.3">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row>
    <row r="500" spans="2:35" ht="13" x14ac:dyDescent="0.3">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row>
    <row r="501" spans="2:35" ht="13" x14ac:dyDescent="0.3">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row>
    <row r="502" spans="2:35" ht="13" x14ac:dyDescent="0.3">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row>
    <row r="503" spans="2:35" ht="13" x14ac:dyDescent="0.3">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row>
    <row r="504" spans="2:35" ht="13" x14ac:dyDescent="0.3">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row>
    <row r="505" spans="2:35" ht="13" x14ac:dyDescent="0.3">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row>
    <row r="506" spans="2:35" ht="13" x14ac:dyDescent="0.3">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row>
    <row r="507" spans="2:35" ht="13" x14ac:dyDescent="0.3">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row>
    <row r="508" spans="2:35" ht="13" x14ac:dyDescent="0.3">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row>
    <row r="509" spans="2:35" ht="13" x14ac:dyDescent="0.3">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row>
    <row r="510" spans="2:35" ht="13" x14ac:dyDescent="0.3">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row>
    <row r="511" spans="2:35" ht="13" x14ac:dyDescent="0.3">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row>
    <row r="512" spans="2:35" ht="13" x14ac:dyDescent="0.3">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row>
    <row r="513" spans="2:35" ht="13" x14ac:dyDescent="0.3">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row>
    <row r="514" spans="2:35" ht="13" x14ac:dyDescent="0.3">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row>
    <row r="515" spans="2:35" ht="13" x14ac:dyDescent="0.3">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row>
    <row r="516" spans="2:35" ht="13" x14ac:dyDescent="0.3">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row>
    <row r="517" spans="2:35" ht="13" x14ac:dyDescent="0.3">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row>
    <row r="518" spans="2:35" ht="13" x14ac:dyDescent="0.3">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row>
    <row r="519" spans="2:35" ht="13" x14ac:dyDescent="0.3">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row>
    <row r="520" spans="2:35" ht="13" x14ac:dyDescent="0.3">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row>
    <row r="521" spans="2:35" ht="13" x14ac:dyDescent="0.3">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row>
    <row r="522" spans="2:35" ht="13" x14ac:dyDescent="0.3">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row>
    <row r="523" spans="2:35" ht="13" x14ac:dyDescent="0.3">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row>
    <row r="524" spans="2:35" ht="13" x14ac:dyDescent="0.3">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row>
    <row r="525" spans="2:35" ht="13" x14ac:dyDescent="0.3">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row>
    <row r="526" spans="2:35" ht="13" x14ac:dyDescent="0.3">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row>
    <row r="527" spans="2:35" ht="13" x14ac:dyDescent="0.3">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row>
    <row r="528" spans="2:35" ht="13" x14ac:dyDescent="0.3">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row>
    <row r="529" spans="2:35" ht="13" x14ac:dyDescent="0.3">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row>
    <row r="530" spans="2:35" ht="13" x14ac:dyDescent="0.3">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row>
    <row r="531" spans="2:35" ht="13" x14ac:dyDescent="0.3">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row>
    <row r="532" spans="2:35" ht="13" x14ac:dyDescent="0.3">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row>
    <row r="533" spans="2:35" ht="13" x14ac:dyDescent="0.3">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row>
    <row r="534" spans="2:35" ht="13" x14ac:dyDescent="0.3">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row>
    <row r="535" spans="2:35" ht="13" x14ac:dyDescent="0.3">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row>
    <row r="536" spans="2:35" ht="13" x14ac:dyDescent="0.3">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row>
    <row r="537" spans="2:35" ht="13" x14ac:dyDescent="0.3">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row>
    <row r="538" spans="2:35" ht="13" x14ac:dyDescent="0.3">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row>
    <row r="539" spans="2:35" ht="13" x14ac:dyDescent="0.3">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row>
    <row r="540" spans="2:35" ht="13" x14ac:dyDescent="0.3">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row>
    <row r="541" spans="2:35" ht="13" x14ac:dyDescent="0.3">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row>
    <row r="542" spans="2:35" ht="13" x14ac:dyDescent="0.3">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row>
    <row r="543" spans="2:35" ht="13" x14ac:dyDescent="0.3">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row>
    <row r="544" spans="2:35" ht="13" x14ac:dyDescent="0.3">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row>
    <row r="545" spans="2:35" ht="13" x14ac:dyDescent="0.3">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row>
    <row r="546" spans="2:35" ht="13" x14ac:dyDescent="0.3">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row>
    <row r="547" spans="2:35" ht="13" x14ac:dyDescent="0.3">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row>
    <row r="548" spans="2:35" ht="13" x14ac:dyDescent="0.3">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row>
    <row r="549" spans="2:35" ht="13" x14ac:dyDescent="0.3">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row>
    <row r="550" spans="2:35" ht="13" x14ac:dyDescent="0.3">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row>
    <row r="551" spans="2:35" ht="13" x14ac:dyDescent="0.3">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row>
    <row r="552" spans="2:35" ht="13" x14ac:dyDescent="0.3">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row>
    <row r="553" spans="2:35" ht="13" x14ac:dyDescent="0.3">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row>
    <row r="554" spans="2:35" ht="13" x14ac:dyDescent="0.3">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row>
    <row r="555" spans="2:35" ht="13" x14ac:dyDescent="0.3">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row>
    <row r="556" spans="2:35" ht="13" x14ac:dyDescent="0.3">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row>
    <row r="557" spans="2:35" ht="13" x14ac:dyDescent="0.3">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row>
    <row r="558" spans="2:35" ht="13" x14ac:dyDescent="0.3">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row>
    <row r="559" spans="2:35" ht="13" x14ac:dyDescent="0.3">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row>
    <row r="560" spans="2:35" ht="13" x14ac:dyDescent="0.3">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row>
    <row r="561" spans="2:35" ht="13" x14ac:dyDescent="0.3">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row>
    <row r="562" spans="2:35" ht="13" x14ac:dyDescent="0.3">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row>
    <row r="563" spans="2:35" ht="13" x14ac:dyDescent="0.3">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row>
    <row r="564" spans="2:35" ht="13" x14ac:dyDescent="0.3">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row>
    <row r="565" spans="2:35" ht="13" x14ac:dyDescent="0.3">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row>
    <row r="566" spans="2:35" ht="13" x14ac:dyDescent="0.3">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row>
    <row r="567" spans="2:35" ht="13" x14ac:dyDescent="0.3">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row>
    <row r="568" spans="2:35" ht="13" x14ac:dyDescent="0.3">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row>
    <row r="569" spans="2:35" ht="13" x14ac:dyDescent="0.3">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row>
    <row r="570" spans="2:35" ht="13" x14ac:dyDescent="0.3">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row>
    <row r="571" spans="2:35" ht="13" x14ac:dyDescent="0.3">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row>
    <row r="572" spans="2:35" ht="13" x14ac:dyDescent="0.3">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row>
    <row r="573" spans="2:35" ht="13" x14ac:dyDescent="0.3">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row>
    <row r="574" spans="2:35" ht="13" x14ac:dyDescent="0.3">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row>
    <row r="575" spans="2:35" ht="13" x14ac:dyDescent="0.3">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row>
    <row r="576" spans="2:35" ht="13" x14ac:dyDescent="0.3">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row>
    <row r="577" spans="2:35" ht="13" x14ac:dyDescent="0.3">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row>
    <row r="578" spans="2:35" ht="13" x14ac:dyDescent="0.3">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row>
    <row r="579" spans="2:35" ht="13" x14ac:dyDescent="0.3">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row>
    <row r="580" spans="2:35" ht="13" x14ac:dyDescent="0.3">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row>
    <row r="581" spans="2:35" ht="13" x14ac:dyDescent="0.3">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row>
    <row r="582" spans="2:35" ht="13" x14ac:dyDescent="0.3">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row>
    <row r="583" spans="2:35" ht="13" x14ac:dyDescent="0.3">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row>
    <row r="584" spans="2:35" ht="13" x14ac:dyDescent="0.3">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row>
    <row r="585" spans="2:35" ht="13" x14ac:dyDescent="0.3">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row>
    <row r="586" spans="2:35" ht="13" x14ac:dyDescent="0.3">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row>
    <row r="587" spans="2:35" ht="13" x14ac:dyDescent="0.3">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row>
    <row r="588" spans="2:35" ht="13" x14ac:dyDescent="0.3">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row>
    <row r="589" spans="2:35" ht="13" x14ac:dyDescent="0.3">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row>
    <row r="590" spans="2:35" ht="13" x14ac:dyDescent="0.3">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row>
    <row r="591" spans="2:35" ht="13" x14ac:dyDescent="0.3">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row>
    <row r="592" spans="2:35" ht="13" x14ac:dyDescent="0.3">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row>
    <row r="593" spans="2:35" ht="13" x14ac:dyDescent="0.3">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row>
    <row r="594" spans="2:35" ht="13" x14ac:dyDescent="0.3">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row>
    <row r="595" spans="2:35" ht="13" x14ac:dyDescent="0.3">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row>
    <row r="596" spans="2:35" ht="13" x14ac:dyDescent="0.3">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row>
    <row r="597" spans="2:35" ht="13" x14ac:dyDescent="0.3">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row>
    <row r="598" spans="2:35" ht="13" x14ac:dyDescent="0.3">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row>
    <row r="599" spans="2:35" ht="13" x14ac:dyDescent="0.3">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row>
    <row r="600" spans="2:35" ht="13" x14ac:dyDescent="0.3">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row>
    <row r="601" spans="2:35" ht="13" x14ac:dyDescent="0.3">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row>
    <row r="602" spans="2:35" ht="13" x14ac:dyDescent="0.3">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row>
    <row r="603" spans="2:35" ht="13" x14ac:dyDescent="0.3">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row>
    <row r="604" spans="2:35" ht="13" x14ac:dyDescent="0.3">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row>
    <row r="605" spans="2:35" ht="13" x14ac:dyDescent="0.3">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row>
    <row r="606" spans="2:35" ht="13" x14ac:dyDescent="0.3">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row>
    <row r="607" spans="2:35" ht="13" x14ac:dyDescent="0.3">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row>
    <row r="608" spans="2:35" ht="13" x14ac:dyDescent="0.3">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row>
    <row r="609" spans="2:35" ht="13" x14ac:dyDescent="0.3">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row>
    <row r="610" spans="2:35" ht="13" x14ac:dyDescent="0.3">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row>
    <row r="611" spans="2:35" ht="13" x14ac:dyDescent="0.3">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row>
    <row r="612" spans="2:35" ht="13" x14ac:dyDescent="0.3">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row>
    <row r="613" spans="2:35" ht="13" x14ac:dyDescent="0.3">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row>
    <row r="614" spans="2:35" ht="13" x14ac:dyDescent="0.3">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row>
    <row r="615" spans="2:35" ht="13" x14ac:dyDescent="0.3">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row>
    <row r="616" spans="2:35" ht="13" x14ac:dyDescent="0.3">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row>
    <row r="617" spans="2:35" ht="13" x14ac:dyDescent="0.3">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row>
    <row r="618" spans="2:35" ht="13" x14ac:dyDescent="0.3">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row>
    <row r="619" spans="2:35" ht="13" x14ac:dyDescent="0.3">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row>
    <row r="620" spans="2:35" ht="13" x14ac:dyDescent="0.3">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row>
    <row r="621" spans="2:35" ht="13" x14ac:dyDescent="0.3">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row>
    <row r="622" spans="2:35" ht="13" x14ac:dyDescent="0.3">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row>
    <row r="623" spans="2:35" ht="13" x14ac:dyDescent="0.3">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row>
    <row r="624" spans="2:35" ht="13" x14ac:dyDescent="0.3">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row>
    <row r="625" spans="2:35" ht="13" x14ac:dyDescent="0.3">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row>
    <row r="626" spans="2:35" ht="13" x14ac:dyDescent="0.3">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row>
    <row r="627" spans="2:35" ht="13" x14ac:dyDescent="0.3">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row>
    <row r="628" spans="2:35" ht="13" x14ac:dyDescent="0.3">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row>
    <row r="629" spans="2:35" ht="13" x14ac:dyDescent="0.3">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row>
    <row r="630" spans="2:35" ht="13" x14ac:dyDescent="0.3">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row>
    <row r="631" spans="2:35" ht="13" x14ac:dyDescent="0.3">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row>
    <row r="632" spans="2:35" ht="13" x14ac:dyDescent="0.3">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row>
    <row r="633" spans="2:35" ht="13" x14ac:dyDescent="0.3">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row>
    <row r="634" spans="2:35" ht="13" x14ac:dyDescent="0.3">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row>
    <row r="635" spans="2:35" ht="13" x14ac:dyDescent="0.3">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row>
    <row r="636" spans="2:35" ht="13" x14ac:dyDescent="0.3">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row>
    <row r="637" spans="2:35" ht="13" x14ac:dyDescent="0.3">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row>
    <row r="638" spans="2:35" ht="13" x14ac:dyDescent="0.3">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row>
    <row r="639" spans="2:35" ht="13" x14ac:dyDescent="0.3">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row>
    <row r="640" spans="2:35" ht="13" x14ac:dyDescent="0.3">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row>
    <row r="641" spans="2:35" ht="13" x14ac:dyDescent="0.3">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row>
    <row r="642" spans="2:35" ht="13" x14ac:dyDescent="0.3">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row>
    <row r="643" spans="2:35" ht="13" x14ac:dyDescent="0.3">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row>
    <row r="644" spans="2:35" ht="13" x14ac:dyDescent="0.3">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row>
    <row r="645" spans="2:35" ht="13" x14ac:dyDescent="0.3">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row>
    <row r="646" spans="2:35" ht="13" x14ac:dyDescent="0.3">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row>
    <row r="647" spans="2:35" ht="13" x14ac:dyDescent="0.3">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row>
    <row r="648" spans="2:35" ht="13" x14ac:dyDescent="0.3">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row>
    <row r="649" spans="2:35" ht="13" x14ac:dyDescent="0.3">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row>
    <row r="650" spans="2:35" ht="13" x14ac:dyDescent="0.3">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row>
    <row r="651" spans="2:35" ht="13" x14ac:dyDescent="0.3">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row>
    <row r="652" spans="2:35" ht="13" x14ac:dyDescent="0.3">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row>
    <row r="653" spans="2:35" ht="13" x14ac:dyDescent="0.3">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row>
    <row r="654" spans="2:35" ht="13" x14ac:dyDescent="0.3">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row>
    <row r="655" spans="2:35" ht="13" x14ac:dyDescent="0.3">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row>
    <row r="656" spans="2:35" ht="13" x14ac:dyDescent="0.3">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row>
    <row r="657" spans="2:35" ht="13" x14ac:dyDescent="0.3">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row>
    <row r="658" spans="2:35" ht="13" x14ac:dyDescent="0.3">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row>
    <row r="659" spans="2:35" ht="13" x14ac:dyDescent="0.3">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row>
    <row r="660" spans="2:35" ht="13" x14ac:dyDescent="0.3">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row>
    <row r="661" spans="2:35" ht="13" x14ac:dyDescent="0.3">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row>
    <row r="662" spans="2:35" ht="13" x14ac:dyDescent="0.3">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row>
    <row r="663" spans="2:35" ht="13" x14ac:dyDescent="0.3">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row>
    <row r="664" spans="2:35" ht="13" x14ac:dyDescent="0.3">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row>
    <row r="665" spans="2:35" ht="13" x14ac:dyDescent="0.3">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row>
    <row r="666" spans="2:35" ht="13" x14ac:dyDescent="0.3">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row>
    <row r="667" spans="2:35" ht="13" x14ac:dyDescent="0.3">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row>
    <row r="668" spans="2:35" ht="13" x14ac:dyDescent="0.3">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row>
    <row r="669" spans="2:35" ht="13" x14ac:dyDescent="0.3">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row>
    <row r="670" spans="2:35" ht="13" x14ac:dyDescent="0.3">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row>
    <row r="671" spans="2:35" ht="13" x14ac:dyDescent="0.3">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row>
    <row r="672" spans="2:35" ht="13" x14ac:dyDescent="0.3">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row>
    <row r="673" spans="2:35" ht="13" x14ac:dyDescent="0.3">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row>
    <row r="674" spans="2:35" ht="13" x14ac:dyDescent="0.3">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row>
    <row r="675" spans="2:35" ht="13" x14ac:dyDescent="0.3">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row>
    <row r="676" spans="2:35" ht="13" x14ac:dyDescent="0.3">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row>
    <row r="677" spans="2:35" ht="13" x14ac:dyDescent="0.3">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row>
    <row r="678" spans="2:35" ht="13" x14ac:dyDescent="0.3">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row>
    <row r="679" spans="2:35" ht="13" x14ac:dyDescent="0.3">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row>
    <row r="680" spans="2:35" ht="13" x14ac:dyDescent="0.3">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row>
    <row r="681" spans="2:35" ht="13" x14ac:dyDescent="0.3">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row>
    <row r="682" spans="2:35" ht="13" x14ac:dyDescent="0.3">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row>
    <row r="683" spans="2:35" ht="13" x14ac:dyDescent="0.3">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row>
    <row r="684" spans="2:35" ht="13" x14ac:dyDescent="0.3">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row>
    <row r="685" spans="2:35" ht="13" x14ac:dyDescent="0.3">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row>
    <row r="686" spans="2:35" ht="13" x14ac:dyDescent="0.3">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row>
    <row r="687" spans="2:35" ht="13" x14ac:dyDescent="0.3">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row>
    <row r="688" spans="2:35" ht="13" x14ac:dyDescent="0.3">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row>
    <row r="689" spans="2:35" ht="13" x14ac:dyDescent="0.3">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row>
    <row r="690" spans="2:35" ht="13" x14ac:dyDescent="0.3">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row>
    <row r="691" spans="2:35" ht="13" x14ac:dyDescent="0.3">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row>
    <row r="692" spans="2:35" ht="13" x14ac:dyDescent="0.3">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row>
    <row r="693" spans="2:35" ht="13" x14ac:dyDescent="0.3">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row>
    <row r="694" spans="2:35" ht="13" x14ac:dyDescent="0.3">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row>
    <row r="695" spans="2:35" ht="13" x14ac:dyDescent="0.3">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row>
    <row r="696" spans="2:35" ht="13" x14ac:dyDescent="0.3">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row>
    <row r="697" spans="2:35" ht="13" x14ac:dyDescent="0.3">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row>
    <row r="698" spans="2:35" ht="13" x14ac:dyDescent="0.3">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row>
    <row r="699" spans="2:35" ht="13" x14ac:dyDescent="0.3">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row>
    <row r="700" spans="2:35" ht="13" x14ac:dyDescent="0.3">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row>
    <row r="701" spans="2:35" ht="13" x14ac:dyDescent="0.3">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row>
    <row r="702" spans="2:35" ht="13" x14ac:dyDescent="0.3">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row>
    <row r="703" spans="2:35" ht="13" x14ac:dyDescent="0.3">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row>
    <row r="704" spans="2:35" ht="13" x14ac:dyDescent="0.3">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row>
    <row r="705" spans="2:35" ht="13" x14ac:dyDescent="0.3">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row>
    <row r="706" spans="2:35" ht="13" x14ac:dyDescent="0.3">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row>
    <row r="707" spans="2:35" ht="13" x14ac:dyDescent="0.3">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row>
    <row r="708" spans="2:35" ht="13" x14ac:dyDescent="0.3">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row>
    <row r="709" spans="2:35" ht="13" x14ac:dyDescent="0.3">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row>
    <row r="710" spans="2:35" ht="13" x14ac:dyDescent="0.3">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row>
    <row r="711" spans="2:35" ht="13" x14ac:dyDescent="0.3">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row>
    <row r="712" spans="2:35" ht="13" x14ac:dyDescent="0.3">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row>
    <row r="713" spans="2:35" ht="13" x14ac:dyDescent="0.3">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row>
    <row r="714" spans="2:35" ht="13" x14ac:dyDescent="0.3">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row>
    <row r="715" spans="2:35" ht="13" x14ac:dyDescent="0.3">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row>
    <row r="716" spans="2:35" ht="13" x14ac:dyDescent="0.3">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row>
    <row r="717" spans="2:35" ht="13" x14ac:dyDescent="0.3">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row>
    <row r="718" spans="2:35" ht="13" x14ac:dyDescent="0.3">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row>
    <row r="719" spans="2:35" ht="13" x14ac:dyDescent="0.3">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row>
    <row r="720" spans="2:35" ht="13" x14ac:dyDescent="0.3">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row>
    <row r="721" spans="2:35" ht="13" x14ac:dyDescent="0.3">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row>
    <row r="722" spans="2:35" ht="13" x14ac:dyDescent="0.3">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row>
    <row r="723" spans="2:35" ht="13" x14ac:dyDescent="0.3">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row>
    <row r="724" spans="2:35" ht="13" x14ac:dyDescent="0.3">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row>
    <row r="725" spans="2:35" ht="13" x14ac:dyDescent="0.3">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row>
    <row r="726" spans="2:35" ht="13" x14ac:dyDescent="0.3">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row>
    <row r="727" spans="2:35" ht="13" x14ac:dyDescent="0.3">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row>
    <row r="728" spans="2:35" ht="13" x14ac:dyDescent="0.3">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row>
    <row r="729" spans="2:35" ht="13" x14ac:dyDescent="0.3">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row>
    <row r="730" spans="2:35" ht="13" x14ac:dyDescent="0.3">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row>
    <row r="731" spans="2:35" ht="13" x14ac:dyDescent="0.3">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row>
    <row r="732" spans="2:35" ht="13" x14ac:dyDescent="0.3">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row>
    <row r="733" spans="2:35" ht="13" x14ac:dyDescent="0.3">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row>
    <row r="734" spans="2:35" ht="13" x14ac:dyDescent="0.3">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row>
    <row r="735" spans="2:35" ht="13" x14ac:dyDescent="0.3">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row>
    <row r="736" spans="2:35" ht="13" x14ac:dyDescent="0.3">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row>
    <row r="737" spans="2:35" ht="13" x14ac:dyDescent="0.3">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row>
    <row r="738" spans="2:35" ht="13" x14ac:dyDescent="0.3">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row>
    <row r="739" spans="2:35" ht="13" x14ac:dyDescent="0.3">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row>
    <row r="740" spans="2:35" ht="13" x14ac:dyDescent="0.3">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row>
    <row r="741" spans="2:35" ht="13" x14ac:dyDescent="0.3">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row>
    <row r="742" spans="2:35" ht="13" x14ac:dyDescent="0.3">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row>
    <row r="743" spans="2:35" ht="13" x14ac:dyDescent="0.3">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row>
    <row r="744" spans="2:35" ht="13" x14ac:dyDescent="0.3">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row>
    <row r="745" spans="2:35" ht="13" x14ac:dyDescent="0.3">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row>
    <row r="746" spans="2:35" ht="13" x14ac:dyDescent="0.3">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row>
    <row r="747" spans="2:35" ht="13" x14ac:dyDescent="0.3">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row>
    <row r="748" spans="2:35" ht="13" x14ac:dyDescent="0.3">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row>
    <row r="749" spans="2:35" ht="13" x14ac:dyDescent="0.3">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row>
    <row r="750" spans="2:35" ht="13" x14ac:dyDescent="0.3">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row>
    <row r="751" spans="2:35" ht="13" x14ac:dyDescent="0.3">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row>
    <row r="752" spans="2:35" ht="13" x14ac:dyDescent="0.3">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row>
    <row r="753" spans="2:35" ht="13" x14ac:dyDescent="0.3">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row>
    <row r="754" spans="2:35" ht="13" x14ac:dyDescent="0.3">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row>
    <row r="755" spans="2:35" ht="13" x14ac:dyDescent="0.3">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row>
    <row r="756" spans="2:35" ht="13" x14ac:dyDescent="0.3">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row>
    <row r="757" spans="2:35" ht="13" x14ac:dyDescent="0.3">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row>
    <row r="758" spans="2:35" ht="13" x14ac:dyDescent="0.3">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row>
    <row r="759" spans="2:35" ht="13" x14ac:dyDescent="0.3">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row>
    <row r="760" spans="2:35" ht="13" x14ac:dyDescent="0.3">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row>
    <row r="761" spans="2:35" ht="13" x14ac:dyDescent="0.3">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row>
    <row r="762" spans="2:35" ht="13" x14ac:dyDescent="0.3">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row>
    <row r="763" spans="2:35" ht="13" x14ac:dyDescent="0.3">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row>
    <row r="764" spans="2:35" ht="13" x14ac:dyDescent="0.3">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row>
    <row r="765" spans="2:35" ht="13" x14ac:dyDescent="0.3">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row>
    <row r="766" spans="2:35" ht="13" x14ac:dyDescent="0.3">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row>
    <row r="767" spans="2:35" ht="13" x14ac:dyDescent="0.3">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row>
    <row r="768" spans="2:35" ht="13" x14ac:dyDescent="0.3">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row>
    <row r="769" spans="2:35" ht="13" x14ac:dyDescent="0.3">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row>
    <row r="770" spans="2:35" ht="13" x14ac:dyDescent="0.3">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row>
    <row r="771" spans="2:35" ht="13" x14ac:dyDescent="0.3">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row>
    <row r="772" spans="2:35" ht="13" x14ac:dyDescent="0.3">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row>
    <row r="773" spans="2:35" ht="13" x14ac:dyDescent="0.3">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row>
    <row r="774" spans="2:35" ht="13" x14ac:dyDescent="0.3">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row>
    <row r="775" spans="2:35" ht="13" x14ac:dyDescent="0.3">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row>
    <row r="776" spans="2:35" ht="13" x14ac:dyDescent="0.3">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row>
    <row r="777" spans="2:35" ht="13" x14ac:dyDescent="0.3">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row>
    <row r="778" spans="2:35" ht="13" x14ac:dyDescent="0.3">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row>
    <row r="779" spans="2:35" ht="13" x14ac:dyDescent="0.3">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row>
    <row r="780" spans="2:35" ht="13" x14ac:dyDescent="0.3">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row>
    <row r="781" spans="2:35" ht="13" x14ac:dyDescent="0.3">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row>
    <row r="782" spans="2:35" ht="13" x14ac:dyDescent="0.3">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row>
    <row r="783" spans="2:35" ht="13" x14ac:dyDescent="0.3">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row>
    <row r="784" spans="2:35" ht="13" x14ac:dyDescent="0.3">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row>
    <row r="785" spans="2:35" ht="13" x14ac:dyDescent="0.3">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row>
    <row r="786" spans="2:35" ht="13" x14ac:dyDescent="0.3">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row>
    <row r="787" spans="2:35" ht="13" x14ac:dyDescent="0.3">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row>
    <row r="788" spans="2:35" ht="13" x14ac:dyDescent="0.3">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row>
    <row r="789" spans="2:35" ht="13" x14ac:dyDescent="0.3">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row>
    <row r="790" spans="2:35" ht="13" x14ac:dyDescent="0.3">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row>
    <row r="791" spans="2:35" ht="13" x14ac:dyDescent="0.3">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row>
    <row r="792" spans="2:35" ht="13" x14ac:dyDescent="0.3">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row>
    <row r="793" spans="2:35" ht="13" x14ac:dyDescent="0.3">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row>
    <row r="794" spans="2:35" ht="13" x14ac:dyDescent="0.3">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row>
    <row r="795" spans="2:35" ht="13" x14ac:dyDescent="0.3">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row>
    <row r="796" spans="2:35" ht="13" x14ac:dyDescent="0.3">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row>
    <row r="797" spans="2:35" ht="13" x14ac:dyDescent="0.3">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row>
    <row r="798" spans="2:35" ht="13" x14ac:dyDescent="0.3">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row>
    <row r="799" spans="2:35" ht="13" x14ac:dyDescent="0.3">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row>
    <row r="800" spans="2:35" ht="13" x14ac:dyDescent="0.3">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row>
    <row r="801" spans="2:35" ht="13" x14ac:dyDescent="0.3">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row>
    <row r="802" spans="2:35" ht="13" x14ac:dyDescent="0.3">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row>
    <row r="803" spans="2:35" ht="13" x14ac:dyDescent="0.3">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row>
    <row r="804" spans="2:35" ht="13" x14ac:dyDescent="0.3">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row>
    <row r="805" spans="2:35" ht="13" x14ac:dyDescent="0.3">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row>
    <row r="806" spans="2:35" ht="13" x14ac:dyDescent="0.3">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row>
    <row r="807" spans="2:35" ht="13" x14ac:dyDescent="0.3">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row>
    <row r="808" spans="2:35" ht="13" x14ac:dyDescent="0.3">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row>
    <row r="809" spans="2:35" ht="13" x14ac:dyDescent="0.3">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row>
    <row r="810" spans="2:35" ht="13" x14ac:dyDescent="0.3">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row>
    <row r="811" spans="2:35" ht="13" x14ac:dyDescent="0.3">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row>
    <row r="812" spans="2:35" ht="13" x14ac:dyDescent="0.3">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row>
    <row r="813" spans="2:35" ht="13" x14ac:dyDescent="0.3">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row>
    <row r="814" spans="2:35" ht="13" x14ac:dyDescent="0.3">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row>
    <row r="815" spans="2:35" ht="13" x14ac:dyDescent="0.3">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row>
    <row r="816" spans="2:35" ht="13" x14ac:dyDescent="0.3">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row>
    <row r="817" spans="2:35" ht="13" x14ac:dyDescent="0.3">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row>
    <row r="818" spans="2:35" ht="13" x14ac:dyDescent="0.3">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row>
    <row r="819" spans="2:35" ht="13" x14ac:dyDescent="0.3">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row>
    <row r="820" spans="2:35" ht="13" x14ac:dyDescent="0.3">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row>
    <row r="821" spans="2:35" ht="13" x14ac:dyDescent="0.3">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row>
    <row r="822" spans="2:35" ht="13" x14ac:dyDescent="0.3">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row>
    <row r="823" spans="2:35" ht="13" x14ac:dyDescent="0.3">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row>
    <row r="824" spans="2:35" ht="13" x14ac:dyDescent="0.3">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row>
    <row r="825" spans="2:35" ht="13" x14ac:dyDescent="0.3">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row>
    <row r="826" spans="2:35" ht="13" x14ac:dyDescent="0.3">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row>
    <row r="827" spans="2:35" ht="13" x14ac:dyDescent="0.3">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row>
    <row r="828" spans="2:35" ht="13" x14ac:dyDescent="0.3">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row>
    <row r="829" spans="2:35" ht="13" x14ac:dyDescent="0.3">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row>
    <row r="830" spans="2:35" ht="13" x14ac:dyDescent="0.3">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row>
    <row r="831" spans="2:35" ht="13" x14ac:dyDescent="0.3">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row>
    <row r="832" spans="2:35" ht="13" x14ac:dyDescent="0.3">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row>
    <row r="833" spans="2:35" ht="13" x14ac:dyDescent="0.3">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row>
    <row r="834" spans="2:35" ht="13" x14ac:dyDescent="0.3">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row>
    <row r="835" spans="2:35" ht="13" x14ac:dyDescent="0.3">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row>
    <row r="836" spans="2:35" ht="13" x14ac:dyDescent="0.3">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row>
    <row r="837" spans="2:35" ht="13" x14ac:dyDescent="0.3">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row>
    <row r="838" spans="2:35" ht="13" x14ac:dyDescent="0.3">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row>
    <row r="839" spans="2:35" ht="13" x14ac:dyDescent="0.3">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row>
    <row r="840" spans="2:35" ht="13" x14ac:dyDescent="0.3">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row>
    <row r="841" spans="2:35" ht="13" x14ac:dyDescent="0.3">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row>
    <row r="842" spans="2:35" ht="13" x14ac:dyDescent="0.3">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row>
    <row r="843" spans="2:35" ht="13" x14ac:dyDescent="0.3">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row>
    <row r="844" spans="2:35" ht="13" x14ac:dyDescent="0.3">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row>
    <row r="845" spans="2:35" ht="13" x14ac:dyDescent="0.3">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row>
    <row r="846" spans="2:35" ht="13" x14ac:dyDescent="0.3">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row>
    <row r="847" spans="2:35" ht="13" x14ac:dyDescent="0.3">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row>
    <row r="848" spans="2:35" ht="13" x14ac:dyDescent="0.3">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row>
    <row r="849" spans="2:35" ht="13" x14ac:dyDescent="0.3">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row>
    <row r="850" spans="2:35" ht="13" x14ac:dyDescent="0.3">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row>
    <row r="851" spans="2:35" ht="13" x14ac:dyDescent="0.3">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row>
    <row r="852" spans="2:35" ht="13" x14ac:dyDescent="0.3">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row>
    <row r="853" spans="2:35" ht="13" x14ac:dyDescent="0.3">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row>
    <row r="854" spans="2:35" ht="13" x14ac:dyDescent="0.3">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row>
    <row r="855" spans="2:35" ht="13" x14ac:dyDescent="0.3">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row>
    <row r="856" spans="2:35" ht="13" x14ac:dyDescent="0.3">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row>
    <row r="857" spans="2:35" ht="13" x14ac:dyDescent="0.3">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row>
    <row r="858" spans="2:35" ht="13" x14ac:dyDescent="0.3">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row>
    <row r="859" spans="2:35" ht="13" x14ac:dyDescent="0.3">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row>
    <row r="860" spans="2:35" ht="13" x14ac:dyDescent="0.3">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row>
    <row r="861" spans="2:35" ht="13" x14ac:dyDescent="0.3">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row>
    <row r="862" spans="2:35" ht="13" x14ac:dyDescent="0.3">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row>
    <row r="863" spans="2:35" ht="13" x14ac:dyDescent="0.3">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row>
    <row r="864" spans="2:35" ht="13" x14ac:dyDescent="0.3">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row>
    <row r="865" spans="2:35" ht="13" x14ac:dyDescent="0.3">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row>
    <row r="866" spans="2:35" ht="13" x14ac:dyDescent="0.3">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row>
    <row r="867" spans="2:35" ht="13" x14ac:dyDescent="0.3">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row>
    <row r="868" spans="2:35" ht="13" x14ac:dyDescent="0.3">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row>
    <row r="869" spans="2:35" ht="13" x14ac:dyDescent="0.3">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row>
    <row r="870" spans="2:35" ht="13" x14ac:dyDescent="0.3">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row>
    <row r="871" spans="2:35" ht="13" x14ac:dyDescent="0.3">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row>
    <row r="872" spans="2:35" ht="13" x14ac:dyDescent="0.3">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row>
    <row r="873" spans="2:35" ht="13" x14ac:dyDescent="0.3">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row>
    <row r="874" spans="2:35" ht="13" x14ac:dyDescent="0.3">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row>
    <row r="875" spans="2:35" ht="13" x14ac:dyDescent="0.3">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row>
    <row r="876" spans="2:35" ht="13" x14ac:dyDescent="0.3">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row>
    <row r="877" spans="2:35" ht="13" x14ac:dyDescent="0.3">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row>
    <row r="878" spans="2:35" ht="13" x14ac:dyDescent="0.3">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row>
    <row r="879" spans="2:35" ht="13" x14ac:dyDescent="0.3">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row>
    <row r="880" spans="2:35" ht="13" x14ac:dyDescent="0.3">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row>
    <row r="881" spans="2:35" ht="13" x14ac:dyDescent="0.3">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row>
    <row r="882" spans="2:35" ht="13" x14ac:dyDescent="0.3">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row>
    <row r="883" spans="2:35" ht="13" x14ac:dyDescent="0.3">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row>
    <row r="884" spans="2:35" ht="13" x14ac:dyDescent="0.3">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row>
    <row r="885" spans="2:35" ht="13" x14ac:dyDescent="0.3">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row>
    <row r="886" spans="2:35" ht="13" x14ac:dyDescent="0.3">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row>
    <row r="887" spans="2:35" ht="13" x14ac:dyDescent="0.3">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row>
    <row r="888" spans="2:35" ht="13" x14ac:dyDescent="0.3">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row>
    <row r="889" spans="2:35" ht="13" x14ac:dyDescent="0.3">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row>
    <row r="890" spans="2:35" ht="13" x14ac:dyDescent="0.3">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row>
    <row r="891" spans="2:35" ht="13" x14ac:dyDescent="0.3">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row>
    <row r="892" spans="2:35" ht="13" x14ac:dyDescent="0.3">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row>
    <row r="893" spans="2:35" ht="13" x14ac:dyDescent="0.3">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row>
    <row r="894" spans="2:35" ht="13" x14ac:dyDescent="0.3">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row>
    <row r="895" spans="2:35" ht="13" x14ac:dyDescent="0.3">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row>
    <row r="896" spans="2:35" ht="13" x14ac:dyDescent="0.3">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row>
    <row r="897" spans="2:35" ht="13" x14ac:dyDescent="0.3">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row>
    <row r="898" spans="2:35" ht="13" x14ac:dyDescent="0.3">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row>
    <row r="899" spans="2:35" ht="13" x14ac:dyDescent="0.3">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row>
    <row r="900" spans="2:35" ht="13" x14ac:dyDescent="0.3">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row>
    <row r="901" spans="2:35" ht="13" x14ac:dyDescent="0.3">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row>
    <row r="902" spans="2:35" ht="13" x14ac:dyDescent="0.3">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row>
    <row r="903" spans="2:35" ht="13" x14ac:dyDescent="0.3">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row>
    <row r="904" spans="2:35" ht="13" x14ac:dyDescent="0.3">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row>
    <row r="905" spans="2:35" ht="13" x14ac:dyDescent="0.3">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row>
    <row r="906" spans="2:35" ht="13" x14ac:dyDescent="0.3">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row>
    <row r="907" spans="2:35" ht="13" x14ac:dyDescent="0.3">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row>
    <row r="908" spans="2:35" ht="13" x14ac:dyDescent="0.3">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row>
    <row r="909" spans="2:35" ht="13" x14ac:dyDescent="0.3">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row>
    <row r="910" spans="2:35" ht="13" x14ac:dyDescent="0.3">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row>
    <row r="911" spans="2:35" ht="13" x14ac:dyDescent="0.3">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row>
    <row r="912" spans="2:35" ht="13" x14ac:dyDescent="0.3">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row>
    <row r="913" spans="2:35" ht="13" x14ac:dyDescent="0.3">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row>
    <row r="914" spans="2:35" ht="13" x14ac:dyDescent="0.3">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row>
    <row r="915" spans="2:35" ht="13" x14ac:dyDescent="0.3">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row>
    <row r="916" spans="2:35" ht="13" x14ac:dyDescent="0.3">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row>
    <row r="917" spans="2:35" ht="13" x14ac:dyDescent="0.3">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row>
  </sheetData>
  <sheetProtection formatCells="0" formatColumns="0" formatRows="0" insertColumns="0" insertRows="0" insertHyperlinks="0" deleteColumns="0" deleteRows="0" sort="0" autoFilter="0" pivotTables="0"/>
  <mergeCells count="10">
    <mergeCell ref="O31:Q31"/>
    <mergeCell ref="AF27:AH27"/>
    <mergeCell ref="O3:T3"/>
    <mergeCell ref="U3:Z3"/>
    <mergeCell ref="O4:P4"/>
    <mergeCell ref="Q4:R4"/>
    <mergeCell ref="S4:T4"/>
    <mergeCell ref="U4:V4"/>
    <mergeCell ref="W4:X4"/>
    <mergeCell ref="Y4:Z4"/>
  </mergeCells>
  <phoneticPr fontId="11" type="noConversion"/>
  <conditionalFormatting sqref="C5:C7 C9:C11">
    <cfRule type="containsText" dxfId="74" priority="90" operator="containsText" text="No">
      <formula>NOT(ISERROR(SEARCH("No",C5)))</formula>
    </cfRule>
  </conditionalFormatting>
  <conditionalFormatting sqref="C5:C11">
    <cfRule type="containsText" dxfId="73" priority="28" operator="containsText" text="No">
      <formula>NOT(ISERROR(SEARCH("No",C5)))</formula>
    </cfRule>
    <cfRule type="containsText" dxfId="72" priority="27" operator="containsText" text="Yes">
      <formula>NOT(ISERROR(SEARCH("Yes",C5)))</formula>
    </cfRule>
  </conditionalFormatting>
  <conditionalFormatting sqref="C8">
    <cfRule type="containsText" dxfId="71" priority="26" operator="containsText" text="No">
      <formula>NOT(ISERROR(SEARCH("No",C8)))</formula>
    </cfRule>
    <cfRule type="containsText" dxfId="70" priority="25" operator="containsText" text="Yes">
      <formula>NOT(ISERROR(SEARCH("Yes",C8)))</formula>
    </cfRule>
  </conditionalFormatting>
  <conditionalFormatting sqref="C9:C11 C5:C7">
    <cfRule type="containsText" dxfId="69" priority="89" operator="containsText" text="Yes">
      <formula>NOT(ISERROR(SEARCH("Yes",C5)))</formula>
    </cfRule>
  </conditionalFormatting>
  <conditionalFormatting sqref="C10:C11">
    <cfRule type="containsText" dxfId="68" priority="77" operator="containsText" text="No">
      <formula>NOT(ISERROR(SEARCH("No",C10)))</formula>
    </cfRule>
  </conditionalFormatting>
  <conditionalFormatting sqref="C12">
    <cfRule type="containsText" dxfId="67" priority="91" operator="containsText" text="No">
      <formula>NOT(ISERROR(SEARCH("No",C12)))</formula>
    </cfRule>
  </conditionalFormatting>
  <conditionalFormatting sqref="C15:C81">
    <cfRule type="containsText" dxfId="66" priority="137" operator="containsText" text="Yes">
      <formula>NOT(ISERROR(SEARCH("Yes",C15)))</formula>
    </cfRule>
  </conditionalFormatting>
  <conditionalFormatting sqref="C15:D81">
    <cfRule type="containsText" dxfId="65" priority="274" operator="containsText" text="No">
      <formula>NOT(ISERROR(SEARCH("No",C15)))</formula>
    </cfRule>
  </conditionalFormatting>
  <conditionalFormatting sqref="D5:D7 D9:D11">
    <cfRule type="containsText" dxfId="64" priority="74" operator="containsText" text="No">
      <formula>NOT(ISERROR(SEARCH("No",D5)))</formula>
    </cfRule>
    <cfRule type="containsText" dxfId="63" priority="73" operator="containsText" text="No">
      <formula>NOT(ISERROR(SEARCH("No",D5)))</formula>
    </cfRule>
  </conditionalFormatting>
  <conditionalFormatting sqref="D5:D11">
    <cfRule type="containsText" dxfId="62" priority="23" operator="containsText" text="No">
      <formula>NOT(ISERROR(SEARCH("No",D5)))</formula>
    </cfRule>
    <cfRule type="containsText" dxfId="61" priority="24" operator="containsText" text="No">
      <formula>NOT(ISERROR(SEARCH("No",D5)))</formula>
    </cfRule>
  </conditionalFormatting>
  <conditionalFormatting sqref="D8">
    <cfRule type="containsText" dxfId="60" priority="22" operator="containsText" text="No">
      <formula>NOT(ISERROR(SEARCH("No",D8)))</formula>
    </cfRule>
    <cfRule type="containsText" dxfId="59" priority="21" operator="containsText" text="No">
      <formula>NOT(ISERROR(SEARCH("No",D8)))</formula>
    </cfRule>
  </conditionalFormatting>
  <conditionalFormatting sqref="D15:D81">
    <cfRule type="containsText" dxfId="58" priority="275" operator="containsText" text="No">
      <formula>NOT(ISERROR(SEARCH("No",D15)))</formula>
    </cfRule>
  </conditionalFormatting>
  <conditionalFormatting sqref="E5:E7 E9:E11">
    <cfRule type="containsText" dxfId="57" priority="45" operator="containsText" text="Yes">
      <formula>NOT(ISERROR(SEARCH("Yes",E5)))</formula>
    </cfRule>
    <cfRule type="containsText" dxfId="56" priority="46" operator="containsText" text="No">
      <formula>NOT(ISERROR(SEARCH("No",E5)))</formula>
    </cfRule>
  </conditionalFormatting>
  <conditionalFormatting sqref="E5:E11">
    <cfRule type="containsText" dxfId="55" priority="16" operator="containsText" text="No">
      <formula>NOT(ISERROR(SEARCH("No",E5)))</formula>
    </cfRule>
    <cfRule type="containsText" dxfId="54" priority="15" operator="containsText" text="Yes">
      <formula>NOT(ISERROR(SEARCH("Yes",E5)))</formula>
    </cfRule>
  </conditionalFormatting>
  <conditionalFormatting sqref="E8">
    <cfRule type="containsText" dxfId="53" priority="14" operator="containsText" text="No">
      <formula>NOT(ISERROR(SEARCH("No",E8)))</formula>
    </cfRule>
    <cfRule type="containsText" dxfId="52" priority="13" operator="containsText" text="Yes">
      <formula>NOT(ISERROR(SEARCH("Yes",E8)))</formula>
    </cfRule>
  </conditionalFormatting>
  <conditionalFormatting sqref="E15:G81">
    <cfRule type="containsText" dxfId="51" priority="271" operator="containsText" text="Yes">
      <formula>NOT(ISERROR(SEARCH("Yes",E15)))</formula>
    </cfRule>
    <cfRule type="containsText" dxfId="50" priority="272" operator="containsText" text="No">
      <formula>NOT(ISERROR(SEARCH("No",E15)))</formula>
    </cfRule>
  </conditionalFormatting>
  <conditionalFormatting sqref="E21:G21">
    <cfRule type="containsText" dxfId="49" priority="194" operator="containsText" text="No">
      <formula>NOT(ISERROR(SEARCH("No",E21)))</formula>
    </cfRule>
    <cfRule type="containsText" dxfId="48" priority="193" operator="containsText" text="Yes">
      <formula>NOT(ISERROR(SEARCH("Yes",E21)))</formula>
    </cfRule>
  </conditionalFormatting>
  <conditionalFormatting sqref="E23:G23">
    <cfRule type="containsText" dxfId="47" priority="179" operator="containsText" text="Yes">
      <formula>NOT(ISERROR(SEARCH("Yes",E23)))</formula>
    </cfRule>
    <cfRule type="containsText" dxfId="46" priority="180" operator="containsText" text="No">
      <formula>NOT(ISERROR(SEARCH("No",E23)))</formula>
    </cfRule>
  </conditionalFormatting>
  <conditionalFormatting sqref="F5">
    <cfRule type="containsText" dxfId="45" priority="8" operator="containsText" text="No">
      <formula>NOT(ISERROR(SEARCH("No",F5)))</formula>
    </cfRule>
    <cfRule type="containsText" dxfId="44" priority="7" operator="containsText" text="No">
      <formula>NOT(ISERROR(SEARCH("No",F5)))</formula>
    </cfRule>
    <cfRule type="containsText" dxfId="43" priority="6" operator="containsText" text="No">
      <formula>NOT(ISERROR(SEARCH("No",F5)))</formula>
    </cfRule>
    <cfRule type="containsText" dxfId="42" priority="5" operator="containsText" text="No">
      <formula>NOT(ISERROR(SEARCH("No",F5)))</formula>
    </cfRule>
  </conditionalFormatting>
  <conditionalFormatting sqref="F6:F7 F9:F11">
    <cfRule type="containsText" dxfId="41" priority="59" operator="containsText" text="No">
      <formula>NOT(ISERROR(SEARCH("No",F6)))</formula>
    </cfRule>
    <cfRule type="containsText" dxfId="40" priority="60" operator="containsText" text="No">
      <formula>NOT(ISERROR(SEARCH("No",F6)))</formula>
    </cfRule>
  </conditionalFormatting>
  <conditionalFormatting sqref="F6:F11">
    <cfRule type="containsText" dxfId="39" priority="19" operator="containsText" text="No">
      <formula>NOT(ISERROR(SEARCH("No",F6)))</formula>
    </cfRule>
    <cfRule type="containsText" dxfId="38" priority="20" operator="containsText" text="No">
      <formula>NOT(ISERROR(SEARCH("No",F6)))</formula>
    </cfRule>
  </conditionalFormatting>
  <conditionalFormatting sqref="F8">
    <cfRule type="containsText" dxfId="37" priority="17" operator="containsText" text="No">
      <formula>NOT(ISERROR(SEARCH("No",F8)))</formula>
    </cfRule>
    <cfRule type="containsText" dxfId="36" priority="18" operator="containsText" text="No">
      <formula>NOT(ISERROR(SEARCH("No",F8)))</formula>
    </cfRule>
  </conditionalFormatting>
  <conditionalFormatting sqref="F63:G69">
    <cfRule type="containsText" dxfId="35" priority="110" operator="containsText" text="Yes">
      <formula>NOT(ISERROR(SEARCH("Yes",F63)))</formula>
    </cfRule>
    <cfRule type="containsText" dxfId="34" priority="111" operator="containsText" text="No">
      <formula>NOT(ISERROR(SEARCH("No",F63)))</formula>
    </cfRule>
    <cfRule type="containsText" dxfId="33" priority="112" operator="containsText" text="Yes">
      <formula>NOT(ISERROR(SEARCH("Yes",F63)))</formula>
    </cfRule>
    <cfRule type="containsText" dxfId="32" priority="113" operator="containsText" text="No">
      <formula>NOT(ISERROR(SEARCH("No",F63)))</formula>
    </cfRule>
    <cfRule type="containsText" dxfId="31" priority="114" operator="containsText" text="Yes">
      <formula>NOT(ISERROR(SEARCH("Yes",F63)))</formula>
    </cfRule>
    <cfRule type="containsText" dxfId="30" priority="115" operator="containsText" text="No">
      <formula>NOT(ISERROR(SEARCH("No",F63)))</formula>
    </cfRule>
    <cfRule type="containsText" dxfId="29" priority="108" operator="containsText" text="Yes">
      <formula>NOT(ISERROR(SEARCH("Yes",F63)))</formula>
    </cfRule>
    <cfRule type="containsText" dxfId="28" priority="109" operator="containsText" text="No">
      <formula>NOT(ISERROR(SEARCH("No",F63)))</formula>
    </cfRule>
  </conditionalFormatting>
  <conditionalFormatting sqref="F71:G71">
    <cfRule type="containsText" dxfId="27" priority="99" operator="containsText" text="No">
      <formula>NOT(ISERROR(SEARCH("No",F71)))</formula>
    </cfRule>
    <cfRule type="containsText" dxfId="26" priority="92" operator="containsText" text="Yes">
      <formula>NOT(ISERROR(SEARCH("Yes",F71)))</formula>
    </cfRule>
    <cfRule type="containsText" dxfId="25" priority="93" operator="containsText" text="No">
      <formula>NOT(ISERROR(SEARCH("No",F71)))</formula>
    </cfRule>
    <cfRule type="containsText" dxfId="24" priority="94" operator="containsText" text="Yes">
      <formula>NOT(ISERROR(SEARCH("Yes",F71)))</formula>
    </cfRule>
    <cfRule type="containsText" dxfId="23" priority="95" operator="containsText" text="No">
      <formula>NOT(ISERROR(SEARCH("No",F71)))</formula>
    </cfRule>
    <cfRule type="containsText" dxfId="22" priority="96" operator="containsText" text="Yes">
      <formula>NOT(ISERROR(SEARCH("Yes",F71)))</formula>
    </cfRule>
    <cfRule type="containsText" dxfId="21" priority="97" operator="containsText" text="No">
      <formula>NOT(ISERROR(SEARCH("No",F71)))</formula>
    </cfRule>
    <cfRule type="containsText" dxfId="20" priority="98" operator="containsText" text="Yes">
      <formula>NOT(ISERROR(SEARCH("Yes",F71)))</formula>
    </cfRule>
  </conditionalFormatting>
  <conditionalFormatting sqref="F73:G79">
    <cfRule type="containsText" dxfId="19" priority="100" operator="containsText" text="Yes">
      <formula>NOT(ISERROR(SEARCH("Yes",F73)))</formula>
    </cfRule>
    <cfRule type="containsText" dxfId="18" priority="101" operator="containsText" text="No">
      <formula>NOT(ISERROR(SEARCH("No",F73)))</formula>
    </cfRule>
    <cfRule type="containsText" dxfId="17" priority="102" operator="containsText" text="Yes">
      <formula>NOT(ISERROR(SEARCH("Yes",F73)))</formula>
    </cfRule>
    <cfRule type="containsText" dxfId="16" priority="103" operator="containsText" text="No">
      <formula>NOT(ISERROR(SEARCH("No",F73)))</formula>
    </cfRule>
    <cfRule type="containsText" dxfId="15" priority="104" operator="containsText" text="Yes">
      <formula>NOT(ISERROR(SEARCH("Yes",F73)))</formula>
    </cfRule>
    <cfRule type="containsText" dxfId="14" priority="105" operator="containsText" text="No">
      <formula>NOT(ISERROR(SEARCH("No",F73)))</formula>
    </cfRule>
    <cfRule type="containsText" dxfId="13" priority="107" operator="containsText" text="No">
      <formula>NOT(ISERROR(SEARCH("No",F73)))</formula>
    </cfRule>
    <cfRule type="containsText" dxfId="12" priority="106" operator="containsText" text="Yes">
      <formula>NOT(ISERROR(SEARCH("Yes",F73)))</formula>
    </cfRule>
  </conditionalFormatting>
  <conditionalFormatting sqref="G5:G7 G9:G11">
    <cfRule type="containsText" dxfId="11" priority="32" operator="containsText" text="No">
      <formula>NOT(ISERROR(SEARCH("No",G5)))</formula>
    </cfRule>
    <cfRule type="containsText" dxfId="10" priority="31" operator="containsText" text="Yes">
      <formula>NOT(ISERROR(SEARCH("Yes",G5)))</formula>
    </cfRule>
  </conditionalFormatting>
  <conditionalFormatting sqref="G5:G11">
    <cfRule type="containsText" dxfId="9" priority="12" operator="containsText" text="No">
      <formula>NOT(ISERROR(SEARCH("No",G5)))</formula>
    </cfRule>
    <cfRule type="containsText" dxfId="8" priority="11" operator="containsText" text="Yes">
      <formula>NOT(ISERROR(SEARCH("Yes",G5)))</formula>
    </cfRule>
  </conditionalFormatting>
  <conditionalFormatting sqref="G8">
    <cfRule type="containsText" dxfId="7" priority="10" operator="containsText" text="No">
      <formula>NOT(ISERROR(SEARCH("No",G8)))</formula>
    </cfRule>
    <cfRule type="containsText" dxfId="6" priority="9" operator="containsText" text="Yes">
      <formula>NOT(ISERROR(SEARCH("Yes",G8)))</formula>
    </cfRule>
  </conditionalFormatting>
  <conditionalFormatting sqref="H5">
    <cfRule type="containsText" dxfId="5" priority="1" operator="containsText" text="No">
      <formula>NOT(ISERROR(SEARCH("No",H5)))</formula>
    </cfRule>
    <cfRule type="containsText" dxfId="4" priority="4" operator="containsText" text="No">
      <formula>NOT(ISERROR(SEARCH("No",H5)))</formula>
    </cfRule>
    <cfRule type="containsText" dxfId="3" priority="3" operator="containsText" text="No">
      <formula>NOT(ISERROR(SEARCH("No",H5)))</formula>
    </cfRule>
    <cfRule type="containsText" dxfId="2" priority="2" operator="containsText" text="No">
      <formula>NOT(ISERROR(SEARCH("No",H5)))</formula>
    </cfRule>
  </conditionalFormatting>
  <dataValidations count="1">
    <dataValidation type="list" allowBlank="1" showInputMessage="1" showErrorMessage="1" sqref="C5:C11 E5:E11 G5:G11" xr:uid="{63314F3F-B2FE-4083-A286-F26BC4D86D2E}">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r:id="rId1"/>
  <headerFooter>
    <oddHeader>&amp;LPhosphate Budget Calculator&amp;CData Tables&amp;R&amp;"Calibri"&amp;10&amp;KFF8C00Information Classification: CONTROLLED&amp;1#</oddHeader>
    <oddFooter>&amp;LVersion 1.0&amp;R&amp;D</oddFooter>
  </headerFooter>
  <customProperties>
    <customPr name="SSC_SHEET_GUID" r:id="rId2"/>
  </customProperties>
  <tableParts count="3">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E7A3-307D-4303-9418-5F1AB5D796ED}">
  <sheetPr>
    <tabColor theme="8" tint="0.79998168889431442"/>
    <pageSetUpPr fitToPage="1"/>
  </sheetPr>
  <dimension ref="B1:AX101"/>
  <sheetViews>
    <sheetView topLeftCell="E3" zoomScaleNormal="100" workbookViewId="0">
      <selection activeCell="L15" sqref="L15:M15"/>
    </sheetView>
  </sheetViews>
  <sheetFormatPr defaultRowHeight="12.5" zeroHeight="1" x14ac:dyDescent="0.25"/>
  <cols>
    <col min="2" max="3" width="0.81640625" customWidth="1"/>
    <col min="4" max="4" width="2.26953125" customWidth="1"/>
    <col min="5" max="5" width="10" customWidth="1"/>
    <col min="7" max="7" width="10" customWidth="1"/>
    <col min="8" max="8" width="10.26953125" customWidth="1"/>
    <col min="9" max="9" width="14" customWidth="1"/>
    <col min="10" max="10" width="13.54296875" customWidth="1"/>
    <col min="11" max="11" width="9.54296875" customWidth="1"/>
    <col min="12" max="12" width="11.7265625" customWidth="1"/>
    <col min="13" max="13" width="2.26953125" customWidth="1"/>
    <col min="14" max="14" width="10.54296875" customWidth="1"/>
    <col min="15" max="15" width="11.1796875" customWidth="1"/>
    <col min="16" max="16" width="10.54296875" customWidth="1"/>
    <col min="17" max="17" width="2.26953125" customWidth="1"/>
    <col min="18" max="18" width="10.1796875" customWidth="1"/>
    <col min="19" max="19" width="5.453125" customWidth="1"/>
    <col min="20" max="20" width="0.81640625" customWidth="1"/>
    <col min="21" max="21" width="12.26953125" customWidth="1"/>
    <col min="23" max="23" width="25.54296875" customWidth="1"/>
    <col min="24" max="24" width="18.1796875" customWidth="1"/>
    <col min="25" max="25" width="10.1796875" hidden="1" customWidth="1"/>
    <col min="26" max="26" width="3.1796875" customWidth="1"/>
    <col min="31" max="31" width="8.7265625" customWidth="1"/>
  </cols>
  <sheetData>
    <row r="1" spans="2:26" ht="13" hidden="1" thickBot="1" x14ac:dyDescent="0.3"/>
    <row r="2" spans="2:26" ht="9" customHeight="1" x14ac:dyDescent="0.3">
      <c r="B2" s="79"/>
      <c r="C2" s="80"/>
      <c r="D2" s="80"/>
      <c r="E2" s="80"/>
      <c r="F2" s="80"/>
      <c r="G2" s="80"/>
      <c r="H2" s="80"/>
      <c r="I2" s="80"/>
      <c r="J2" s="80"/>
      <c r="K2" s="80"/>
      <c r="L2" s="80"/>
      <c r="M2" s="80"/>
      <c r="N2" s="80"/>
      <c r="O2" s="80"/>
      <c r="P2" s="80"/>
      <c r="Q2" s="80"/>
      <c r="R2" s="80"/>
      <c r="S2" s="80"/>
      <c r="T2" s="81"/>
      <c r="U2" s="78"/>
      <c r="V2" s="78"/>
      <c r="W2" s="78"/>
      <c r="X2" s="78"/>
      <c r="Y2" s="78"/>
      <c r="Z2" s="78"/>
    </row>
    <row r="3" spans="2:26" ht="28.5" customHeight="1" x14ac:dyDescent="0.3">
      <c r="B3" s="82"/>
      <c r="C3" s="39"/>
      <c r="D3" s="108"/>
      <c r="E3" s="285" t="s">
        <v>24</v>
      </c>
      <c r="F3" s="411" t="s">
        <v>313</v>
      </c>
      <c r="G3" s="411"/>
      <c r="H3" s="411"/>
      <c r="I3" s="411"/>
      <c r="J3" s="411"/>
      <c r="K3" s="411"/>
      <c r="L3" s="411"/>
      <c r="M3" s="411"/>
      <c r="N3" s="411"/>
      <c r="O3" s="411"/>
      <c r="P3" s="411"/>
      <c r="Q3" s="411"/>
      <c r="R3" s="411"/>
      <c r="S3" s="411"/>
      <c r="T3" s="83"/>
      <c r="U3" s="78"/>
      <c r="V3" s="78"/>
      <c r="W3" s="78"/>
      <c r="X3" s="78"/>
      <c r="Y3" s="78"/>
      <c r="Z3" s="78"/>
    </row>
    <row r="4" spans="2:26" ht="6.75" customHeight="1" x14ac:dyDescent="0.3">
      <c r="B4" s="82"/>
      <c r="C4" s="109"/>
      <c r="D4" s="109"/>
      <c r="E4" s="405" t="s">
        <v>314</v>
      </c>
      <c r="F4" s="405"/>
      <c r="G4" s="405"/>
      <c r="H4" s="405"/>
      <c r="I4" s="405"/>
      <c r="J4" s="405"/>
      <c r="K4" s="405"/>
      <c r="L4" s="405"/>
      <c r="M4" s="405"/>
      <c r="N4" s="405"/>
      <c r="O4" s="405"/>
      <c r="P4" s="405"/>
      <c r="Q4" s="405"/>
      <c r="R4" s="405"/>
      <c r="S4" s="405"/>
      <c r="T4" s="83"/>
      <c r="U4" s="78"/>
      <c r="V4" s="78"/>
      <c r="W4" s="78"/>
      <c r="X4" s="78"/>
      <c r="Y4" s="78"/>
      <c r="Z4" s="78"/>
    </row>
    <row r="5" spans="2:26" ht="6.75" customHeight="1" x14ac:dyDescent="0.3">
      <c r="B5" s="82"/>
      <c r="C5" s="109"/>
      <c r="D5" s="109"/>
      <c r="E5" s="405"/>
      <c r="F5" s="405"/>
      <c r="G5" s="405"/>
      <c r="H5" s="405"/>
      <c r="I5" s="405"/>
      <c r="J5" s="405"/>
      <c r="K5" s="405"/>
      <c r="L5" s="405"/>
      <c r="M5" s="405"/>
      <c r="N5" s="405"/>
      <c r="O5" s="405"/>
      <c r="P5" s="405"/>
      <c r="Q5" s="405"/>
      <c r="R5" s="405"/>
      <c r="S5" s="405"/>
      <c r="T5" s="83"/>
      <c r="U5" s="78"/>
      <c r="V5" s="78"/>
      <c r="W5" s="78"/>
      <c r="X5" s="78"/>
      <c r="Y5" s="78"/>
      <c r="Z5" s="78"/>
    </row>
    <row r="6" spans="2:26" ht="24.75" customHeight="1" x14ac:dyDescent="0.3">
      <c r="B6" s="82"/>
      <c r="C6" s="75"/>
      <c r="D6" s="75"/>
      <c r="E6" s="405"/>
      <c r="F6" s="405"/>
      <c r="G6" s="405"/>
      <c r="H6" s="405"/>
      <c r="I6" s="405"/>
      <c r="J6" s="405"/>
      <c r="K6" s="405"/>
      <c r="L6" s="405"/>
      <c r="M6" s="405"/>
      <c r="N6" s="405"/>
      <c r="O6" s="405"/>
      <c r="P6" s="405"/>
      <c r="Q6" s="405"/>
      <c r="R6" s="405"/>
      <c r="S6" s="405"/>
      <c r="T6" s="83"/>
      <c r="U6" s="78"/>
      <c r="V6" s="78"/>
      <c r="W6" s="78"/>
      <c r="X6" s="78"/>
      <c r="Y6" s="78"/>
      <c r="Z6" s="78"/>
    </row>
    <row r="7" spans="2:26" ht="21" customHeight="1" x14ac:dyDescent="0.3">
      <c r="B7" s="82"/>
      <c r="C7" s="75"/>
      <c r="D7" s="107"/>
      <c r="E7" s="110"/>
      <c r="F7" s="110"/>
      <c r="G7" s="110"/>
      <c r="H7" s="110"/>
      <c r="I7" s="110"/>
      <c r="J7" s="110"/>
      <c r="K7" s="110"/>
      <c r="L7" s="110"/>
      <c r="M7" s="110"/>
      <c r="N7" s="110"/>
      <c r="O7" s="110"/>
      <c r="P7" s="110"/>
      <c r="Q7" s="110"/>
      <c r="R7" s="110"/>
      <c r="S7" s="110"/>
      <c r="T7" s="83"/>
      <c r="U7" s="78"/>
      <c r="V7" s="78"/>
      <c r="W7" s="78"/>
      <c r="X7" s="78"/>
      <c r="Y7" s="78"/>
      <c r="Z7" s="78"/>
    </row>
    <row r="8" spans="2:26" ht="37.5" customHeight="1" x14ac:dyDescent="0.35">
      <c r="B8" s="82"/>
      <c r="C8" s="111"/>
      <c r="D8" s="111"/>
      <c r="E8" s="85" t="s">
        <v>142</v>
      </c>
      <c r="F8" s="401" t="s">
        <v>315</v>
      </c>
      <c r="G8" s="401"/>
      <c r="H8" s="401"/>
      <c r="I8" s="401"/>
      <c r="J8" s="401"/>
      <c r="K8" s="295"/>
      <c r="L8" s="303" t="s">
        <v>144</v>
      </c>
      <c r="M8" s="303"/>
      <c r="N8" s="5"/>
      <c r="O8" s="303"/>
      <c r="P8" s="303"/>
      <c r="Q8" s="303"/>
      <c r="R8" s="303"/>
      <c r="S8" s="37"/>
      <c r="T8" s="83"/>
      <c r="U8" s="78"/>
      <c r="V8" s="78"/>
      <c r="W8" s="78"/>
      <c r="X8" s="78"/>
      <c r="Y8" s="78"/>
      <c r="Z8" s="78"/>
    </row>
    <row r="9" spans="2:26" ht="4.5" customHeight="1" x14ac:dyDescent="0.3">
      <c r="B9" s="82"/>
      <c r="C9" s="75"/>
      <c r="D9" s="75"/>
      <c r="E9" s="37"/>
      <c r="F9" s="37"/>
      <c r="G9" s="37"/>
      <c r="H9" s="37"/>
      <c r="I9" s="37"/>
      <c r="J9" s="37"/>
      <c r="K9" s="37"/>
      <c r="L9" s="37"/>
      <c r="M9" s="37"/>
      <c r="N9" s="5"/>
      <c r="O9" s="37"/>
      <c r="P9" s="37"/>
      <c r="Q9" s="37"/>
      <c r="R9" s="37"/>
      <c r="S9" s="37"/>
      <c r="T9" s="83"/>
      <c r="U9" s="78"/>
      <c r="V9" s="78"/>
      <c r="W9" s="78"/>
      <c r="X9" s="78"/>
      <c r="Y9" s="78"/>
      <c r="Z9" s="78"/>
    </row>
    <row r="10" spans="2:26" ht="31" customHeight="1" x14ac:dyDescent="0.3">
      <c r="B10" s="82"/>
      <c r="C10" s="75"/>
      <c r="D10" s="75"/>
      <c r="E10" s="37"/>
      <c r="F10" s="38" t="s">
        <v>316</v>
      </c>
      <c r="G10" s="37"/>
      <c r="H10" s="37"/>
      <c r="I10" s="37"/>
      <c r="J10" s="37"/>
      <c r="K10" s="37"/>
      <c r="L10" s="100">
        <f>IF('Stage 4'!K37&gt;0, 'Stage 4'!K37,0)</f>
        <v>0</v>
      </c>
      <c r="M10" s="115"/>
      <c r="N10" s="5"/>
      <c r="O10" s="90"/>
      <c r="P10" s="90"/>
      <c r="Q10" s="90"/>
      <c r="R10" s="90"/>
      <c r="S10" s="37"/>
      <c r="T10" s="83"/>
      <c r="U10" s="78"/>
      <c r="V10" s="78"/>
      <c r="W10" s="78"/>
      <c r="X10" s="78"/>
      <c r="Y10" s="78"/>
      <c r="Z10" s="78"/>
    </row>
    <row r="11" spans="2:26" ht="17.5" customHeight="1" thickBot="1" x14ac:dyDescent="0.35">
      <c r="B11" s="82"/>
      <c r="C11" s="75"/>
      <c r="D11" s="75"/>
      <c r="E11" s="37"/>
      <c r="F11" s="37"/>
      <c r="G11" s="37"/>
      <c r="H11" s="37"/>
      <c r="I11" s="37"/>
      <c r="J11" s="37"/>
      <c r="K11" s="37"/>
      <c r="L11" s="37"/>
      <c r="M11" s="37"/>
      <c r="N11" s="37"/>
      <c r="O11" s="37"/>
      <c r="P11" s="37"/>
      <c r="Q11" s="37"/>
      <c r="R11" s="97"/>
      <c r="S11" s="97"/>
      <c r="T11" s="83"/>
      <c r="U11" s="146"/>
      <c r="V11" s="91"/>
      <c r="W11" s="91"/>
      <c r="X11" s="91"/>
      <c r="Y11" s="91"/>
      <c r="Z11" s="91"/>
    </row>
    <row r="12" spans="2:26" ht="7" customHeight="1" x14ac:dyDescent="0.3">
      <c r="B12" s="82"/>
      <c r="C12" s="75"/>
      <c r="D12" s="107"/>
      <c r="E12" s="101"/>
      <c r="F12" s="101"/>
      <c r="G12" s="101"/>
      <c r="H12" s="101"/>
      <c r="I12" s="101"/>
      <c r="J12" s="101"/>
      <c r="K12" s="101"/>
      <c r="L12" s="101"/>
      <c r="M12" s="101"/>
      <c r="N12" s="101"/>
      <c r="O12" s="101"/>
      <c r="P12" s="101"/>
      <c r="Q12" s="101"/>
      <c r="R12" s="37"/>
      <c r="S12" s="37"/>
      <c r="T12" s="75"/>
      <c r="U12" s="75"/>
      <c r="V12" s="75"/>
      <c r="W12" s="75"/>
      <c r="X12" s="75"/>
      <c r="Y12" s="75"/>
      <c r="Z12" s="133"/>
    </row>
    <row r="13" spans="2:26" ht="16" customHeight="1" x14ac:dyDescent="0.3">
      <c r="B13" s="82"/>
      <c r="C13" s="75"/>
      <c r="D13" s="75"/>
      <c r="E13" s="85" t="s">
        <v>158</v>
      </c>
      <c r="F13" s="401" t="s">
        <v>317</v>
      </c>
      <c r="G13" s="401"/>
      <c r="H13" s="401"/>
      <c r="I13" s="401"/>
      <c r="J13" s="401"/>
      <c r="K13" s="295"/>
      <c r="L13" s="37"/>
      <c r="M13" s="37"/>
      <c r="N13" s="37"/>
      <c r="O13" s="37"/>
      <c r="P13" s="37"/>
      <c r="Q13" s="37"/>
      <c r="R13" s="37"/>
      <c r="S13" s="37"/>
      <c r="T13" s="37"/>
      <c r="U13" s="37"/>
      <c r="V13" s="37"/>
      <c r="W13" s="37"/>
      <c r="X13" s="37"/>
      <c r="Y13" s="37"/>
      <c r="Z13" s="134"/>
    </row>
    <row r="14" spans="2:26" ht="10.5" customHeight="1" x14ac:dyDescent="0.3">
      <c r="B14" s="82"/>
      <c r="C14" s="75"/>
      <c r="D14" s="75"/>
      <c r="E14" s="37"/>
      <c r="F14" s="37"/>
      <c r="G14" s="37"/>
      <c r="H14" s="37"/>
      <c r="I14" s="37"/>
      <c r="J14" s="37"/>
      <c r="K14" s="37"/>
      <c r="L14" s="37"/>
      <c r="M14" s="37"/>
      <c r="N14" s="37"/>
      <c r="O14" s="37"/>
      <c r="P14" s="96"/>
      <c r="Q14" s="37"/>
      <c r="R14" s="37"/>
      <c r="S14" s="37"/>
      <c r="T14" s="37"/>
      <c r="U14" s="37"/>
      <c r="V14" s="37"/>
      <c r="W14" s="37"/>
      <c r="X14" s="98"/>
      <c r="Y14" s="37"/>
      <c r="Z14" s="134"/>
    </row>
    <row r="15" spans="2:26" ht="14.5" customHeight="1" x14ac:dyDescent="0.3">
      <c r="B15" s="82"/>
      <c r="C15" s="75"/>
      <c r="D15" s="75"/>
      <c r="E15" s="135" t="s">
        <v>318</v>
      </c>
      <c r="F15" s="99" t="s">
        <v>319</v>
      </c>
      <c r="G15" s="37"/>
      <c r="H15" s="37"/>
      <c r="I15" s="37"/>
      <c r="J15" s="37"/>
      <c r="K15" s="37"/>
      <c r="L15" s="438" t="s">
        <v>206</v>
      </c>
      <c r="M15" s="438"/>
      <c r="N15" s="98"/>
      <c r="O15" s="37"/>
      <c r="P15" s="96"/>
      <c r="Q15" s="37"/>
      <c r="R15" s="136"/>
      <c r="S15" s="401" t="s">
        <v>320</v>
      </c>
      <c r="T15" s="401"/>
      <c r="U15" s="401"/>
      <c r="V15" s="401"/>
      <c r="W15" s="401"/>
      <c r="X15" s="306" t="s">
        <v>206</v>
      </c>
      <c r="Y15" s="37"/>
      <c r="Z15" s="134"/>
    </row>
    <row r="16" spans="2:26" ht="14.5" customHeight="1" x14ac:dyDescent="0.3">
      <c r="B16" s="82"/>
      <c r="C16" s="75"/>
      <c r="D16" s="75"/>
      <c r="E16" s="37"/>
      <c r="F16" s="37"/>
      <c r="G16" s="37"/>
      <c r="H16" s="37"/>
      <c r="I16" s="37"/>
      <c r="J16" s="37"/>
      <c r="K16" s="37"/>
      <c r="L16" s="37"/>
      <c r="M16" s="37"/>
      <c r="N16" s="37"/>
      <c r="O16" s="37"/>
      <c r="P16" s="96"/>
      <c r="Q16" s="37"/>
      <c r="R16" s="37"/>
      <c r="S16" s="37"/>
      <c r="T16" s="37"/>
      <c r="U16" s="37"/>
      <c r="V16" s="37"/>
      <c r="W16" s="37"/>
      <c r="X16" s="37"/>
      <c r="Y16" s="37"/>
      <c r="Z16" s="134"/>
    </row>
    <row r="17" spans="2:50" ht="45" customHeight="1" x14ac:dyDescent="0.3">
      <c r="B17" s="82"/>
      <c r="C17" s="75"/>
      <c r="D17" s="75"/>
      <c r="E17" s="436" t="s">
        <v>321</v>
      </c>
      <c r="F17" s="436"/>
      <c r="G17" s="436"/>
      <c r="H17" s="436"/>
      <c r="I17" s="436"/>
      <c r="J17" s="436"/>
      <c r="K17" s="436"/>
      <c r="L17" s="436"/>
      <c r="M17" s="436"/>
      <c r="N17" s="436"/>
      <c r="O17" s="436"/>
      <c r="P17" s="96"/>
      <c r="Q17" s="37"/>
      <c r="R17" s="37"/>
      <c r="S17" s="436" t="s">
        <v>322</v>
      </c>
      <c r="T17" s="436"/>
      <c r="U17" s="436"/>
      <c r="V17" s="436"/>
      <c r="W17" s="436"/>
      <c r="X17" s="436"/>
      <c r="Y17" s="304"/>
      <c r="Z17" s="134"/>
      <c r="AB17" s="13"/>
    </row>
    <row r="18" spans="2:50" ht="16" customHeight="1" x14ac:dyDescent="0.3">
      <c r="B18" s="82"/>
      <c r="C18" s="75"/>
      <c r="D18" s="75"/>
      <c r="E18" s="98"/>
      <c r="F18" s="401" t="s">
        <v>323</v>
      </c>
      <c r="G18" s="401"/>
      <c r="H18" s="401"/>
      <c r="I18" s="401"/>
      <c r="J18" s="401"/>
      <c r="K18" s="295"/>
      <c r="L18" s="303" t="s">
        <v>144</v>
      </c>
      <c r="M18" s="303"/>
      <c r="N18" s="98"/>
      <c r="O18" s="303" t="s">
        <v>145</v>
      </c>
      <c r="P18" s="96"/>
      <c r="Q18" s="37"/>
      <c r="R18" s="37"/>
      <c r="S18" s="401" t="s">
        <v>324</v>
      </c>
      <c r="T18" s="401"/>
      <c r="U18" s="401"/>
      <c r="V18" s="401"/>
      <c r="W18" s="401"/>
      <c r="X18" s="401"/>
      <c r="Y18" s="295"/>
      <c r="Z18" s="134"/>
    </row>
    <row r="19" spans="2:50" ht="13.5" customHeight="1" x14ac:dyDescent="0.3">
      <c r="B19" s="82"/>
      <c r="C19" s="75"/>
      <c r="D19" s="75"/>
      <c r="E19" s="37"/>
      <c r="F19" s="37"/>
      <c r="G19" s="37"/>
      <c r="H19" s="37"/>
      <c r="I19" s="37"/>
      <c r="J19" s="37"/>
      <c r="K19" s="37"/>
      <c r="L19" s="303"/>
      <c r="M19" s="303"/>
      <c r="N19" s="37"/>
      <c r="O19" s="37"/>
      <c r="P19" s="96"/>
      <c r="Q19" s="37"/>
      <c r="R19" s="37"/>
      <c r="S19" s="210"/>
      <c r="T19" s="210"/>
      <c r="U19" s="210"/>
      <c r="V19" s="210"/>
      <c r="W19" s="210"/>
      <c r="X19" s="210"/>
      <c r="Y19" s="37"/>
      <c r="Z19" s="134"/>
    </row>
    <row r="20" spans="2:50" ht="42.75" customHeight="1" x14ac:dyDescent="0.3">
      <c r="B20" s="82"/>
      <c r="C20" s="75"/>
      <c r="D20" s="75"/>
      <c r="E20" s="37"/>
      <c r="F20" s="402" t="s">
        <v>325</v>
      </c>
      <c r="G20" s="402"/>
      <c r="H20" s="402"/>
      <c r="I20" s="402"/>
      <c r="J20" s="402"/>
      <c r="K20" s="298"/>
      <c r="L20" s="100" t="e">
        <f>'Stage 2'!K42/'Stage 2'!K37</f>
        <v>#DIV/0!</v>
      </c>
      <c r="M20" s="115"/>
      <c r="N20" s="306" t="s">
        <v>206</v>
      </c>
      <c r="O20" s="90" t="s">
        <v>232</v>
      </c>
      <c r="P20" s="96"/>
      <c r="Q20" s="37"/>
      <c r="R20" s="85"/>
      <c r="S20" s="400" t="s">
        <v>201</v>
      </c>
      <c r="T20" s="400"/>
      <c r="U20" s="400"/>
      <c r="V20" s="400"/>
      <c r="W20" s="400"/>
      <c r="X20" s="160" t="s">
        <v>94</v>
      </c>
      <c r="Y20" s="295"/>
      <c r="Z20" s="134"/>
      <c r="AB20" s="13"/>
      <c r="AC20" s="13"/>
    </row>
    <row r="21" spans="2:50" ht="19.5" customHeight="1" x14ac:dyDescent="0.3">
      <c r="B21" s="82"/>
      <c r="C21" s="75"/>
      <c r="D21" s="75"/>
      <c r="E21" s="37"/>
      <c r="F21" s="298"/>
      <c r="G21" s="298"/>
      <c r="H21" s="298"/>
      <c r="I21" s="298"/>
      <c r="J21" s="298"/>
      <c r="K21" s="298"/>
      <c r="L21" s="115"/>
      <c r="M21" s="115"/>
      <c r="N21" s="172"/>
      <c r="O21" s="90"/>
      <c r="P21" s="96"/>
      <c r="Q21" s="37"/>
      <c r="R21" s="85"/>
      <c r="S21" s="400" t="s">
        <v>202</v>
      </c>
      <c r="T21" s="400"/>
      <c r="U21" s="400"/>
      <c r="V21" s="400"/>
      <c r="W21" s="400"/>
      <c r="X21" s="306" t="s">
        <v>290</v>
      </c>
      <c r="Y21" s="295"/>
      <c r="Z21" s="134"/>
      <c r="AA21" s="269"/>
      <c r="AB21" s="13"/>
      <c r="AC21" s="13"/>
    </row>
    <row r="22" spans="2:50" ht="21.75" customHeight="1" x14ac:dyDescent="0.3">
      <c r="B22" s="82"/>
      <c r="C22" s="75"/>
      <c r="D22" s="75"/>
      <c r="E22" s="37"/>
      <c r="F22" s="298"/>
      <c r="G22" s="298"/>
      <c r="H22" s="298"/>
      <c r="I22" s="298"/>
      <c r="J22" s="298"/>
      <c r="K22" s="298"/>
      <c r="M22" s="115"/>
      <c r="N22" s="172"/>
      <c r="O22" s="90"/>
      <c r="P22" s="96"/>
      <c r="Q22" s="37"/>
      <c r="R22" s="85"/>
      <c r="S22" s="400" t="s">
        <v>205</v>
      </c>
      <c r="T22" s="400"/>
      <c r="U22" s="400"/>
      <c r="V22" s="400"/>
      <c r="W22" s="400"/>
      <c r="X22" s="306" t="s">
        <v>166</v>
      </c>
      <c r="Y22" s="295"/>
      <c r="Z22" s="134"/>
      <c r="AA22" s="269"/>
      <c r="AB22" s="13"/>
      <c r="AC22" s="13"/>
    </row>
    <row r="23" spans="2:50" ht="14.5" customHeight="1" x14ac:dyDescent="0.3">
      <c r="B23" s="82"/>
      <c r="C23" s="75"/>
      <c r="D23" s="75"/>
      <c r="E23" s="37"/>
      <c r="F23" s="38"/>
      <c r="G23" s="37"/>
      <c r="H23" s="37"/>
      <c r="I23" s="37"/>
      <c r="J23" s="37"/>
      <c r="K23" s="37"/>
      <c r="L23" s="115"/>
      <c r="M23" s="115"/>
      <c r="N23" s="303"/>
      <c r="O23" s="90"/>
      <c r="P23" s="96"/>
      <c r="Q23" s="37"/>
      <c r="R23" s="439"/>
      <c r="S23" s="439"/>
      <c r="T23" s="439"/>
      <c r="U23" s="439"/>
      <c r="V23" s="439"/>
      <c r="W23" s="439"/>
      <c r="X23" s="439"/>
      <c r="Y23" s="439"/>
      <c r="Z23" s="440"/>
      <c r="AA23" s="269"/>
    </row>
    <row r="24" spans="2:50" ht="24" customHeight="1" x14ac:dyDescent="0.3">
      <c r="B24" s="82"/>
      <c r="C24" s="75"/>
      <c r="D24" s="75"/>
      <c r="E24" s="37"/>
      <c r="F24" s="402" t="s">
        <v>326</v>
      </c>
      <c r="G24" s="402"/>
      <c r="H24" s="402"/>
      <c r="I24" s="402"/>
      <c r="J24" s="402"/>
      <c r="K24" s="318"/>
      <c r="L24" s="303"/>
      <c r="M24" s="303"/>
      <c r="N24" s="37"/>
      <c r="O24" s="90"/>
      <c r="P24" s="96"/>
      <c r="Q24" s="37"/>
      <c r="R24" s="37"/>
      <c r="S24" s="402" t="s">
        <v>327</v>
      </c>
      <c r="T24" s="402"/>
      <c r="U24" s="402"/>
      <c r="V24" s="402"/>
      <c r="W24" s="402"/>
      <c r="X24" s="37"/>
      <c r="Y24" s="305" t="s">
        <v>211</v>
      </c>
      <c r="Z24" s="134"/>
      <c r="AM24" s="199"/>
    </row>
    <row r="25" spans="2:50" ht="16" customHeight="1" x14ac:dyDescent="0.3">
      <c r="B25" s="82"/>
      <c r="C25" s="75"/>
      <c r="D25" s="75"/>
      <c r="E25" s="435" t="str">
        <f>'Stage 2'!F18</f>
        <v>High density urban</v>
      </c>
      <c r="F25" s="435"/>
      <c r="G25" s="435"/>
      <c r="H25" s="435"/>
      <c r="I25" s="435"/>
      <c r="J25" s="37"/>
      <c r="K25" s="210"/>
      <c r="L25" s="196" t="str">
        <f>IF('Stage 2'!$K18&gt;0,'Stage 2'!O23/'Stage 2'!$K18,"")</f>
        <v/>
      </c>
      <c r="M25" s="115"/>
      <c r="N25" s="306" t="s">
        <v>206</v>
      </c>
      <c r="O25" s="86" t="s">
        <v>232</v>
      </c>
      <c r="P25" s="96"/>
      <c r="Q25" s="37"/>
      <c r="R25" s="37"/>
      <c r="S25" s="435" t="str">
        <f t="shared" ref="S25:S42" si="0">E25</f>
        <v>High density urban</v>
      </c>
      <c r="T25" s="435"/>
      <c r="U25" s="435"/>
      <c r="V25" s="435"/>
      <c r="W25" s="435"/>
      <c r="X25" s="306" t="s">
        <v>206</v>
      </c>
      <c r="Y25" s="171" t="str">
        <f>IF($X$15="Yes",IF($X$25="Yes",IF($X$21="600-625",'Data Tables'!AE4,IF($X$21="625-650",'Data Tables'!AE5,IF($X$21="650-675",'Data Tables'!AE6,IF($X$21="675-700",'Data Tables'!AE7,IF($X$21="700-750",'Data Tables'!AE8,IF($X$21="750-800",'Data Tables'!AE9,IF($X$21="800-850",'Data Tables'!AE10,'Data Tables'!AE11))))))),0),"")</f>
        <v/>
      </c>
      <c r="Z25" s="134"/>
      <c r="AL25" s="199"/>
      <c r="AN25" s="199"/>
    </row>
    <row r="26" spans="2:50" ht="16" customHeight="1" x14ac:dyDescent="0.3">
      <c r="B26" s="82"/>
      <c r="C26" s="75"/>
      <c r="D26" s="75"/>
      <c r="E26" s="435" t="str">
        <f>'Stage 2'!F19</f>
        <v>Medium density urban</v>
      </c>
      <c r="F26" s="435"/>
      <c r="G26" s="435"/>
      <c r="H26" s="435"/>
      <c r="I26" s="435"/>
      <c r="J26" s="37"/>
      <c r="K26" s="210"/>
      <c r="L26" s="196" t="str">
        <f>IF('Stage 2'!$K19&gt;0,'Stage 2'!O24/'Stage 2'!$K19,"")</f>
        <v/>
      </c>
      <c r="M26" s="115"/>
      <c r="N26" s="306" t="s">
        <v>206</v>
      </c>
      <c r="O26" s="86" t="s">
        <v>232</v>
      </c>
      <c r="P26" s="96"/>
      <c r="Q26" s="37"/>
      <c r="R26" s="37"/>
      <c r="S26" s="435" t="str">
        <f t="shared" si="0"/>
        <v>Medium density urban</v>
      </c>
      <c r="T26" s="435"/>
      <c r="U26" s="435"/>
      <c r="V26" s="435"/>
      <c r="W26" s="435"/>
      <c r="X26" s="306" t="s">
        <v>206</v>
      </c>
      <c r="Y26" s="171" t="str">
        <f>IF($X$15="Yes",IF($X$26="Yes",IF($X$21="600-625",'Data Tables'!AF4,IF($X$21="625-650",'Data Tables'!AF5,IF($X$21="650-675",'Data Tables'!AF6,IF($X$21="675-700",'Data Tables'!AF7,IF($X$21="700-750",'Data Tables'!AF8,IF($X$21="750-800",'Data Tables'!AF9,IF($X$21="800-850",'Data Tables'!AF10,'Data Tables'!AF11))))))),0),"")</f>
        <v/>
      </c>
      <c r="Z26" s="134"/>
    </row>
    <row r="27" spans="2:50" ht="16" customHeight="1" x14ac:dyDescent="0.3">
      <c r="B27" s="82"/>
      <c r="C27" s="75"/>
      <c r="D27" s="75"/>
      <c r="E27" s="435" t="str">
        <f>'Stage 2'!F20</f>
        <v>Low density urban</v>
      </c>
      <c r="F27" s="435"/>
      <c r="G27" s="435"/>
      <c r="H27" s="435"/>
      <c r="I27" s="435"/>
      <c r="J27" s="37"/>
      <c r="K27" s="210"/>
      <c r="L27" s="196" t="str">
        <f>IF('Stage 2'!$K20&gt;0,'Stage 2'!O25/'Stage 2'!$K20,"")</f>
        <v/>
      </c>
      <c r="M27" s="115"/>
      <c r="N27" s="306" t="s">
        <v>206</v>
      </c>
      <c r="O27" s="86" t="s">
        <v>232</v>
      </c>
      <c r="P27" s="96"/>
      <c r="Q27" s="37"/>
      <c r="R27" s="37"/>
      <c r="S27" s="435" t="str">
        <f t="shared" si="0"/>
        <v>Low density urban</v>
      </c>
      <c r="T27" s="435"/>
      <c r="U27" s="435"/>
      <c r="V27" s="435"/>
      <c r="W27" s="435"/>
      <c r="X27" s="306" t="s">
        <v>206</v>
      </c>
      <c r="Y27" s="171" t="str">
        <f>IF($X$15="Yes",IF($X$27="Yes",IF($X$21="600-625",'Data Tables'!AG4,IF($X$21="625-650",'Data Tables'!AG5,IF($X$21="650-675",'Data Tables'!AG6,IF($X$21="675-700",'Data Tables'!AG7,IF($X$21="700-750",'Data Tables'!AG8,IF($X$21="750-800",'Data Tables'!AG9,IF($X$21="800-850",'Data Tables'!AG10,'Data Tables'!AG11))))))),0),"")</f>
        <v/>
      </c>
      <c r="Z27" s="134"/>
    </row>
    <row r="28" spans="2:50" ht="16" customHeight="1" x14ac:dyDescent="0.3">
      <c r="B28" s="82"/>
      <c r="C28" s="75"/>
      <c r="D28" s="75"/>
      <c r="E28" s="435" t="str">
        <f>'Stage 2'!F21</f>
        <v>Commercial / Industrial</v>
      </c>
      <c r="F28" s="435"/>
      <c r="G28" s="435"/>
      <c r="H28" s="435"/>
      <c r="I28" s="435"/>
      <c r="J28" s="37"/>
      <c r="K28" s="210"/>
      <c r="L28" s="196" t="str">
        <f>IF('Stage 2'!$K21&gt;0,'Stage 2'!O26/'Stage 2'!$K21,"")</f>
        <v/>
      </c>
      <c r="M28" s="115"/>
      <c r="N28" s="306" t="s">
        <v>206</v>
      </c>
      <c r="O28" s="86" t="s">
        <v>232</v>
      </c>
      <c r="P28" s="96"/>
      <c r="Q28" s="37"/>
      <c r="R28" s="37"/>
      <c r="S28" s="435" t="str">
        <f t="shared" si="0"/>
        <v>Commercial / Industrial</v>
      </c>
      <c r="T28" s="435"/>
      <c r="U28" s="435"/>
      <c r="V28" s="435"/>
      <c r="W28" s="435"/>
      <c r="X28" s="306" t="s">
        <v>206</v>
      </c>
      <c r="Y28" s="171" t="str">
        <f>IF($X$15="Yes",IF($X$28="Yes",IF($X$21="600-625",'Data Tables'!AH4,IF($X$21="625-650",'Data Tables'!AH5,IF($X$21="650-675",'Data Tables'!AH6,IF($X$21="675-700",'Data Tables'!AH7,IF($X$21="700-750",'Data Tables'!AH8,IF($X$21="750-800",'Data Tables'!AH9,IF($X$21="800-850",'Data Tables'!AH10,'Data Tables'!AH11))))))),0),"")</f>
        <v/>
      </c>
      <c r="Z28" s="134"/>
    </row>
    <row r="29" spans="2:50" ht="16" customHeight="1" x14ac:dyDescent="0.3">
      <c r="B29" s="82"/>
      <c r="C29" s="75"/>
      <c r="D29" s="75"/>
      <c r="E29" s="435" t="str">
        <f>'Stage 2'!F22</f>
        <v>Urban open space</v>
      </c>
      <c r="F29" s="435"/>
      <c r="G29" s="435"/>
      <c r="H29" s="435"/>
      <c r="I29" s="435"/>
      <c r="J29" s="37"/>
      <c r="K29" s="210"/>
      <c r="L29" s="196" t="str">
        <f>IF('Stage 2'!$K22&gt;0,'Stage 2'!O27/'Stage 2'!$K22,"")</f>
        <v/>
      </c>
      <c r="M29" s="115"/>
      <c r="N29" s="306" t="s">
        <v>206</v>
      </c>
      <c r="O29" s="86" t="s">
        <v>232</v>
      </c>
      <c r="P29" s="96"/>
      <c r="Q29" s="37"/>
      <c r="R29" s="37"/>
      <c r="S29" s="435" t="str">
        <f t="shared" si="0"/>
        <v>Urban open space</v>
      </c>
      <c r="T29" s="435"/>
      <c r="U29" s="435"/>
      <c r="V29" s="435"/>
      <c r="W29" s="435"/>
      <c r="X29" s="306" t="s">
        <v>206</v>
      </c>
      <c r="Y29" s="171" t="str">
        <f>IF($X$15="Yes",IF($X$29="Yes",IF($X$21="600-625",'Data Tables'!AI4,IF($X$21="625-650",'Data Tables'!AI5,IF($X$21="650-675",'Data Tables'!AI6,IF($X$21="675-700",'Data Tables'!AI7,IF($X$21="700-750",'Data Tables'!AI8,IF($X$21="750-800",'Data Tables'!AI9,IF($X$21="800-850",'Data Tables'!AI10,'Data Tables'!AI11))))))),0),"")</f>
        <v/>
      </c>
      <c r="Z29" s="134"/>
    </row>
    <row r="30" spans="2:50" ht="16" customHeight="1" x14ac:dyDescent="0.3">
      <c r="B30" s="82"/>
      <c r="C30" s="75"/>
      <c r="D30" s="75"/>
      <c r="E30" s="435" t="str">
        <f>'Stage 2'!F23</f>
        <v>Dairy</v>
      </c>
      <c r="F30" s="435"/>
      <c r="G30" s="435"/>
      <c r="H30" s="435"/>
      <c r="I30" s="435"/>
      <c r="J30" s="37"/>
      <c r="K30" s="210"/>
      <c r="L30" s="196" t="str">
        <f>IF('Stage 2'!$K23&gt;0,'Stage 2'!O23/'Stage 2'!$K23,"")</f>
        <v/>
      </c>
      <c r="M30" s="305"/>
      <c r="N30" s="306" t="s">
        <v>206</v>
      </c>
      <c r="O30" s="86" t="s">
        <v>232</v>
      </c>
      <c r="P30" s="96"/>
      <c r="Q30" s="37"/>
      <c r="R30" s="37"/>
      <c r="S30" s="435" t="str">
        <f t="shared" si="0"/>
        <v>Dairy</v>
      </c>
      <c r="T30" s="435"/>
      <c r="U30" s="435"/>
      <c r="V30" s="435"/>
      <c r="W30" s="435"/>
      <c r="X30" s="306" t="s">
        <v>206</v>
      </c>
      <c r="Y30" s="171" t="str">
        <f>IF($X$15="Yes",IF($X30="Yes",(IF($X$20="Freely draining",IF($X$21="600-625",IF($X$22="Yes",'Data Tables'!O5,'Data Tables'!P5),IF($X$21="625-650",IF($X$22="Yes",'Data Tables'!O5,'Data Tables'!P5),IF($X$21="650-675",IF($X$22="Yes",'Data Tables'!O5,'Data Tables'!P5),IF($X$21="675-700",IF($X$22="Yes",'Data Tables'!O5,'Data Tables'!P5),IF($X$21="700-750",IF($X$22="Yes",'Data Tables'!U5,'Data Tables'!V5),IF($X$21="750-800",IF($X$22="Yes",'Data Tables'!U5,'Data Tables'!V5),IF($X$21="800-850",IF($X$22="Yes",'Data Tables'!U5,'Data Tables'!V5),IF($X$22="Yes",'Data Tables'!U5,'Data Tables'!V5)))))))),IF($X$20="Impermeable - drained for arable",IF($X$21="600-625",IF($X$22="Yes",'Data Tables'!Q5,'Data Tables'!R5),IF($X$21="625-650",IF($X$22="Yes",'Data Tables'!Q5,'Data Tables'!R5),IF($X$21="650-675",IF($X$22="Yes",'Data Tables'!Q5,'Data Tables'!R5),IF($X$21="675-700",IF($X$22="Yes",'Data Tables'!Q5,'Data Tables'!R5),IF($X$21="700-750",IF($X$22="Yes",'Data Tables'!W5,'Data Tables'!X5),IF($X$21="750-800",IF($X$22="Yes",'Data Tables'!W5,'Data Tables'!X5),IF($X$21="800-850",IF($X$22="Yes",'Data Tables'!W5,'Data Tables'!X5),IF($X$22="Yes",'Data Tables'!W5,'Data Tables'!X5)))))))),IF($X$21="600-625",IF($X$22="Yes",'Data Tables'!S5,'Data Tables'!T5),IF($X$21="625-650",IF($X$22="Yes",'Data Tables'!S5,'Data Tables'!T5),IF($X$21="650-675",IF($X$22="Yes",'Data Tables'!S5,'Data Tables'!T5),IF($X$21="675-700",IF($X$22="Yes",'Data Tables'!T5,'Data Tables'!T5),IF($X$21="700-750",IF($X$22="Yes",'Data Tables'!Y5,'Data Tables'!Z5),IF($X$21="750-800",IF($X$22="Yes",'Data Tables'!Y5,'Data Tables'!Z5),IF($X$21="800-850",IF($X$22="Yes",'Data Tables'!Y5,'Data Tables'!Z5),IF($X$22="Yes",'Data Tables'!Y5,'Data Tables'!Z5))))))))))),0),"")</f>
        <v/>
      </c>
      <c r="Z30" s="134"/>
      <c r="AC30" s="181"/>
      <c r="AD30" s="181"/>
      <c r="AE30" s="181"/>
      <c r="AF30" s="181"/>
      <c r="AG30" s="181"/>
      <c r="AH30" s="181"/>
      <c r="AI30" s="181"/>
      <c r="AJ30" s="181"/>
      <c r="AK30" s="181"/>
      <c r="AL30" s="181"/>
      <c r="AM30" s="181"/>
      <c r="AN30" s="181"/>
      <c r="AO30" s="181"/>
      <c r="AQ30" s="181"/>
      <c r="AR30" s="181"/>
      <c r="AS30" s="181"/>
      <c r="AT30" s="181"/>
      <c r="AU30" s="181"/>
      <c r="AV30" s="181"/>
      <c r="AW30" s="181"/>
      <c r="AX30" s="181"/>
    </row>
    <row r="31" spans="2:50" ht="16" customHeight="1" x14ac:dyDescent="0.3">
      <c r="B31" s="82"/>
      <c r="C31" s="75"/>
      <c r="D31" s="75"/>
      <c r="E31" s="435" t="str">
        <f>'Stage 2'!F24</f>
        <v>Lowland grazing</v>
      </c>
      <c r="F31" s="435"/>
      <c r="G31" s="435"/>
      <c r="H31" s="435"/>
      <c r="I31" s="435"/>
      <c r="J31" s="37"/>
      <c r="K31" s="210"/>
      <c r="L31" s="196" t="str">
        <f>IF('Stage 2'!$K24&gt;0,'Stage 2'!O24/'Stage 2'!$K24,"")</f>
        <v/>
      </c>
      <c r="M31" s="74"/>
      <c r="N31" s="306" t="s">
        <v>206</v>
      </c>
      <c r="O31" s="86" t="s">
        <v>232</v>
      </c>
      <c r="P31" s="96"/>
      <c r="Q31" s="37"/>
      <c r="R31" s="37"/>
      <c r="S31" s="435" t="str">
        <f t="shared" si="0"/>
        <v>Lowland grazing</v>
      </c>
      <c r="T31" s="435"/>
      <c r="U31" s="435"/>
      <c r="V31" s="435"/>
      <c r="W31" s="435"/>
      <c r="X31" s="306" t="s">
        <v>206</v>
      </c>
      <c r="Y31" s="171" t="str">
        <f>IF($X$15="Yes",IF($X31="Yes",(IF($X$20="Freely draining",IF($X$21="600-625",IF($X$22="Yes",'Data Tables'!O6,'Data Tables'!P6),IF($X$21="625-650",IF($X$22="Yes",'Data Tables'!O6,'Data Tables'!P6),IF($X$21="650-675",IF($X$22="Yes",'Data Tables'!O6,'Data Tables'!P6),IF($X$21="675-700",IF($X$22="Yes",'Data Tables'!O6,'Data Tables'!P6),IF($X$21="700-750",IF($X$22="Yes",'Data Tables'!U6,'Data Tables'!V6),IF($X$21="750-800",IF($X$22="Yes",'Data Tables'!U6,'Data Tables'!V6),IF($X$21="800-850",IF($X$22="Yes",'Data Tables'!U6,'Data Tables'!V6),IF($X$22="Yes",'Data Tables'!U6,'Data Tables'!V6)))))))),IF($X$20="Impermeable - drained for arable",IF($X$21="600-625",IF($X$22="Yes",'Data Tables'!Q6,'Data Tables'!R6),IF($X$21="625-650",IF($X$22="Yes",'Data Tables'!Q6,'Data Tables'!R6),IF($X$21="650-675",IF($X$22="Yes",'Data Tables'!Q6,'Data Tables'!R6),IF($X$21="675-700",IF($X$22="Yes",'Data Tables'!Q6,'Data Tables'!R6),IF($X$21="700-750",IF($X$22="Yes",'Data Tables'!W6,'Data Tables'!X6),IF($X$21="750-800",IF($X$22="Yes",'Data Tables'!W6,'Data Tables'!X6),IF($X$21="800-850",IF($X$22="Yes",'Data Tables'!W6,'Data Tables'!X6),IF($X$22="Yes",'Data Tables'!W6,'Data Tables'!X6)))))))),IF($X$21="600-625",IF($X$22="Yes",'Data Tables'!S6,'Data Tables'!T6),IF($X$21="625-650",IF($X$22="Yes",'Data Tables'!S6,'Data Tables'!T6),IF($X$21="650-675",IF($X$22="Yes",'Data Tables'!S6,'Data Tables'!T6),IF($X$21="675-700",IF($X$22="Yes",'Data Tables'!T6,'Data Tables'!T6),IF($X$21="700-750",IF($X$22="Yes",'Data Tables'!Y6,'Data Tables'!Z6),IF($X$21="750-800",IF($X$22="Yes",'Data Tables'!Y6,'Data Tables'!Z6),IF($X$21="800-850",IF($X$22="Yes",'Data Tables'!Y6,'Data Tables'!Z6),IF($X$22="Yes",'Data Tables'!Y6,'Data Tables'!Z6))))))))))),0),"")</f>
        <v/>
      </c>
      <c r="Z31" s="134"/>
      <c r="AC31" s="181"/>
      <c r="AD31" s="181"/>
      <c r="AE31" s="181"/>
      <c r="AF31" s="181"/>
      <c r="AG31" s="181"/>
      <c r="AH31" s="181"/>
      <c r="AI31" s="181"/>
      <c r="AJ31" s="181"/>
      <c r="AK31" s="181"/>
      <c r="AL31" s="181"/>
      <c r="AM31" s="181"/>
      <c r="AN31" s="181"/>
      <c r="AO31" s="181"/>
      <c r="AQ31" s="181"/>
      <c r="AR31" s="181"/>
      <c r="AS31" s="181"/>
      <c r="AT31" s="181"/>
      <c r="AU31" s="181"/>
      <c r="AV31" s="181"/>
      <c r="AW31" s="181"/>
      <c r="AX31" s="181"/>
    </row>
    <row r="32" spans="2:50" ht="16" customHeight="1" x14ac:dyDescent="0.3">
      <c r="B32" s="82"/>
      <c r="C32" s="75"/>
      <c r="D32" s="75"/>
      <c r="E32" s="435" t="str">
        <f>'Stage 2'!F25</f>
        <v>Mixed</v>
      </c>
      <c r="F32" s="435"/>
      <c r="G32" s="435"/>
      <c r="H32" s="435"/>
      <c r="I32" s="435"/>
      <c r="J32" s="37"/>
      <c r="K32" s="210"/>
      <c r="L32" s="196" t="str">
        <f>IF('Stage 2'!$K25&gt;0,'Stage 2'!O25/'Stage 2'!$K25,"")</f>
        <v/>
      </c>
      <c r="M32" s="74"/>
      <c r="N32" s="306" t="s">
        <v>206</v>
      </c>
      <c r="O32" s="86" t="s">
        <v>232</v>
      </c>
      <c r="P32" s="96"/>
      <c r="Q32" s="37"/>
      <c r="R32" s="37"/>
      <c r="S32" s="435" t="str">
        <f t="shared" si="0"/>
        <v>Mixed</v>
      </c>
      <c r="T32" s="435"/>
      <c r="U32" s="435"/>
      <c r="V32" s="435"/>
      <c r="W32" s="435"/>
      <c r="X32" s="306" t="s">
        <v>206</v>
      </c>
      <c r="Y32" s="171" t="str">
        <f>IF($X$15="Yes",IF($X32="Yes",(IF($X$20="Freely draining",IF($X$21="600-625",IF($X$22="Yes",'Data Tables'!O7,'Data Tables'!P7),IF($X$21="625-650",IF($X$22="Yes",'Data Tables'!O7,'Data Tables'!P7),IF($X$21="650-675",IF($X$22="Yes",'Data Tables'!O7,'Data Tables'!P7),IF($X$21="675-700",IF($X$22="Yes",'Data Tables'!O7,'Data Tables'!P7),IF($X$21="700-750",IF($X$22="Yes",'Data Tables'!U7,'Data Tables'!V7),IF($X$21="750-800",IF($X$22="Yes",'Data Tables'!U7,'Data Tables'!V7),IF($X$21="800-850",IF($X$22="Yes",'Data Tables'!U7,'Data Tables'!V7),IF($X$22="Yes",'Data Tables'!U7,'Data Tables'!V7)))))))),IF($X$20="Impermeable - drained for arable",IF($X$21="600-625",IF($X$22="Yes",'Data Tables'!Q7,'Data Tables'!R7),IF($X$21="625-650",IF($X$22="Yes",'Data Tables'!Q7,'Data Tables'!R7),IF($X$21="650-675",IF($X$22="Yes",'Data Tables'!Q7,'Data Tables'!R7),IF($X$21="675-700",IF($X$22="Yes",'Data Tables'!Q7,'Data Tables'!R7),IF($X$21="700-750",IF($X$22="Yes",'Data Tables'!W7,'Data Tables'!X7),IF($X$21="750-800",IF($X$22="Yes",'Data Tables'!W7,'Data Tables'!X7),IF($X$21="800-850",IF($X$22="Yes",'Data Tables'!W7,'Data Tables'!X7),IF($X$22="Yes",'Data Tables'!W7,'Data Tables'!X7)))))))),IF($X$21="600-625",IF($X$22="Yes",'Data Tables'!S7,'Data Tables'!T7),IF($X$21="625-650",IF($X$22="Yes",'Data Tables'!S7,'Data Tables'!T7),IF($X$21="650-675",IF($X$22="Yes",'Data Tables'!S7,'Data Tables'!T7),IF($X$21="675-700",IF($X$22="Yes",'Data Tables'!T7,'Data Tables'!T7),IF($X$21="700-750",IF($X$22="Yes",'Data Tables'!Y7,'Data Tables'!Z7),IF($X$21="750-800",IF($X$22="Yes",'Data Tables'!Y7,'Data Tables'!Z7),IF($X$21="800-850",IF($X$22="Yes",'Data Tables'!Y7,'Data Tables'!Z7),IF($X$22="Yes",'Data Tables'!Y7,'Data Tables'!Z7))))))))))),0),"")</f>
        <v/>
      </c>
      <c r="Z32" s="134"/>
      <c r="AC32" s="181"/>
      <c r="AD32" s="181"/>
      <c r="AE32" s="181"/>
      <c r="AF32" s="181"/>
      <c r="AG32" s="181"/>
      <c r="AH32" s="181"/>
      <c r="AI32" s="181"/>
      <c r="AJ32" s="181"/>
      <c r="AK32" s="181"/>
      <c r="AL32" s="181"/>
      <c r="AM32" s="181"/>
      <c r="AN32" s="181"/>
      <c r="AO32" s="181"/>
      <c r="AQ32" s="181"/>
      <c r="AR32" s="181"/>
      <c r="AS32" s="181"/>
      <c r="AT32" s="181"/>
      <c r="AU32" s="181"/>
      <c r="AV32" s="181"/>
      <c r="AW32" s="181"/>
      <c r="AX32" s="181"/>
    </row>
    <row r="33" spans="2:50" ht="16" customHeight="1" x14ac:dyDescent="0.3">
      <c r="B33" s="82"/>
      <c r="C33" s="75"/>
      <c r="D33" s="75"/>
      <c r="E33" s="435" t="str">
        <f>'Stage 2'!F26</f>
        <v>Poultry</v>
      </c>
      <c r="F33" s="435"/>
      <c r="G33" s="435"/>
      <c r="H33" s="435"/>
      <c r="I33" s="435"/>
      <c r="J33" s="37"/>
      <c r="K33" s="210"/>
      <c r="L33" s="196" t="str">
        <f>IF('Stage 2'!$K26&gt;0,'Stage 2'!O26/'Stage 2'!$K26,"")</f>
        <v/>
      </c>
      <c r="M33" s="74"/>
      <c r="N33" s="306" t="s">
        <v>206</v>
      </c>
      <c r="O33" s="86" t="s">
        <v>232</v>
      </c>
      <c r="P33" s="96"/>
      <c r="Q33" s="37"/>
      <c r="R33" s="37"/>
      <c r="S33" s="435" t="str">
        <f t="shared" si="0"/>
        <v>Poultry</v>
      </c>
      <c r="T33" s="435"/>
      <c r="U33" s="435"/>
      <c r="V33" s="435"/>
      <c r="W33" s="435"/>
      <c r="X33" s="306" t="s">
        <v>206</v>
      </c>
      <c r="Y33" s="171" t="str">
        <f>IF($X$15="Yes",IF($X33="Yes",(IF($X$20="Freely draining",IF($X$21="600-625",IF($X$22="Yes",'Data Tables'!O8,'Data Tables'!P8),IF($X$21="625-650",IF($X$22="Yes",'Data Tables'!O8,'Data Tables'!P8),IF($X$21="650-675",IF($X$22="Yes",'Data Tables'!O8,'Data Tables'!P8),IF($X$21="675-700",IF($X$22="Yes",'Data Tables'!O8,'Data Tables'!P8),IF($X$21="700-750",IF($X$22="Yes",'Data Tables'!U8,'Data Tables'!V8),IF($X$21="750-800",IF($X$22="Yes",'Data Tables'!U8,'Data Tables'!V8),IF($X$21="800-850",IF($X$22="Yes",'Data Tables'!U8,'Data Tables'!V8),IF($X$22="Yes",'Data Tables'!U8,'Data Tables'!V8)))))))),IF($X$20="Impermeable - drained for arable",IF($X$21="600-625",IF($X$22="Yes",'Data Tables'!Q8,'Data Tables'!R8),IF($X$21="625-650",IF($X$22="Yes",'Data Tables'!Q8,'Data Tables'!R8),IF($X$21="650-675",IF($X$22="Yes",'Data Tables'!Q8,'Data Tables'!R8),IF($X$21="675-700",IF($X$22="Yes",'Data Tables'!Q8,'Data Tables'!R8),IF($X$21="700-750",IF($X$22="Yes",'Data Tables'!W8,'Data Tables'!X8),IF($X$21="750-800",IF($X$22="Yes",'Data Tables'!W8,'Data Tables'!X8),IF($X$21="800-850",IF($X$22="Yes",'Data Tables'!W8,'Data Tables'!X8),IF($X$22="Yes",'Data Tables'!W8,'Data Tables'!X8)))))))),IF($X$21="600-625",IF($X$22="Yes",'Data Tables'!S8,'Data Tables'!T8),IF($X$21="625-650",IF($X$22="Yes",'Data Tables'!S8,'Data Tables'!T8),IF($X$21="650-675",IF($X$22="Yes",'Data Tables'!S8,'Data Tables'!T8),IF($X$21="675-700",IF($X$22="Yes",'Data Tables'!T8,'Data Tables'!T8),IF($X$21="700-750",IF($X$22="Yes",'Data Tables'!Y8,'Data Tables'!Z8),IF($X$21="750-800",IF($X$22="Yes",'Data Tables'!Y8,'Data Tables'!Z8),IF($X$21="800-850",IF($X$22="Yes",'Data Tables'!Y8,'Data Tables'!Z8),IF($X$22="Yes",'Data Tables'!Y8,'Data Tables'!Z8))))))))))),0),"")</f>
        <v/>
      </c>
      <c r="Z33" s="134"/>
      <c r="AC33" s="181"/>
      <c r="AD33" s="181"/>
      <c r="AE33" s="181"/>
      <c r="AF33" s="181"/>
      <c r="AG33" s="181"/>
      <c r="AH33" s="181"/>
      <c r="AI33" s="181"/>
      <c r="AJ33" s="181"/>
      <c r="AK33" s="181"/>
      <c r="AL33" s="181"/>
      <c r="AM33" s="181"/>
      <c r="AN33" s="181"/>
      <c r="AO33" s="181"/>
      <c r="AQ33" s="181"/>
      <c r="AR33" s="181"/>
      <c r="AS33" s="181"/>
      <c r="AT33" s="181"/>
      <c r="AU33" s="181"/>
      <c r="AV33" s="181"/>
      <c r="AW33" s="181"/>
      <c r="AX33" s="181"/>
    </row>
    <row r="34" spans="2:50" ht="16" customHeight="1" x14ac:dyDescent="0.3">
      <c r="B34" s="82"/>
      <c r="C34" s="75"/>
      <c r="D34" s="75"/>
      <c r="E34" s="435" t="str">
        <f>'Stage 2'!F27</f>
        <v>Pigs</v>
      </c>
      <c r="F34" s="435"/>
      <c r="G34" s="435"/>
      <c r="H34" s="435"/>
      <c r="I34" s="435"/>
      <c r="J34" s="37"/>
      <c r="K34" s="210"/>
      <c r="L34" s="196" t="str">
        <f>IF('Stage 2'!$K27&gt;0,'Stage 2'!O27/'Stage 2'!$K27,"")</f>
        <v/>
      </c>
      <c r="M34" s="74"/>
      <c r="N34" s="306" t="s">
        <v>206</v>
      </c>
      <c r="O34" s="86" t="s">
        <v>232</v>
      </c>
      <c r="P34" s="96"/>
      <c r="Q34" s="37"/>
      <c r="R34" s="37"/>
      <c r="S34" s="435" t="str">
        <f t="shared" si="0"/>
        <v>Pigs</v>
      </c>
      <c r="T34" s="435"/>
      <c r="U34" s="435"/>
      <c r="V34" s="435"/>
      <c r="W34" s="435"/>
      <c r="X34" s="306" t="s">
        <v>206</v>
      </c>
      <c r="Y34" s="171" t="str">
        <f>IF($X$15="Yes",IF($X34="Yes",(IF($X$20="Freely draining",IF($X$21="600-625",IF($X$22="Yes",'Data Tables'!O9,'Data Tables'!P9),IF($X$21="625-650",IF($X$22="Yes",'Data Tables'!O9,'Data Tables'!P9),IF($X$21="650-675",IF($X$22="Yes",'Data Tables'!O9,'Data Tables'!P9),IF($X$21="675-700",IF($X$22="Yes",'Data Tables'!O9,'Data Tables'!P9),IF($X$21="700-750",IF($X$22="Yes",'Data Tables'!U9,'Data Tables'!V9),IF($X$21="750-800",IF($X$22="Yes",'Data Tables'!U9,'Data Tables'!V9),IF($X$21="800-850",IF($X$22="Yes",'Data Tables'!U9,'Data Tables'!V9),IF($X$22="Yes",'Data Tables'!U9,'Data Tables'!V9)))))))),IF($X$20="Impermeable - drained for arable",IF($X$21="600-625",IF($X$22="Yes",'Data Tables'!Q9,'Data Tables'!R9),IF($X$21="625-650",IF($X$22="Yes",'Data Tables'!Q9,'Data Tables'!R9),IF($X$21="650-675",IF($X$22="Yes",'Data Tables'!Q9,'Data Tables'!R9),IF($X$21="675-700",IF($X$22="Yes",'Data Tables'!Q9,'Data Tables'!R9),IF($X$21="700-750",IF($X$22="Yes",'Data Tables'!W9,'Data Tables'!X9),IF($X$21="750-800",IF($X$22="Yes",'Data Tables'!W9,'Data Tables'!X9),IF($X$21="800-850",IF($X$22="Yes",'Data Tables'!W9,'Data Tables'!X9),IF($X$22="Yes",'Data Tables'!W9,'Data Tables'!X9)))))))),IF($X$21="600-625",IF($X$22="Yes",'Data Tables'!S9,'Data Tables'!T9),IF($X$21="625-650",IF($X$22="Yes",'Data Tables'!S9,'Data Tables'!T9),IF($X$21="650-675",IF($X$22="Yes",'Data Tables'!S9,'Data Tables'!T9),IF($X$21="675-700",IF($X$22="Yes",'Data Tables'!T9,'Data Tables'!T9),IF($X$21="700-750",IF($X$22="Yes",'Data Tables'!Y9,'Data Tables'!Z9),IF($X$21="750-800",IF($X$22="Yes",'Data Tables'!Y9,'Data Tables'!Z9),IF($X$21="800-850",IF($X$22="Yes",'Data Tables'!Y9,'Data Tables'!Z9),IF($X$22="Yes",'Data Tables'!Y9,'Data Tables'!Z9))))))))))),0),"")</f>
        <v/>
      </c>
      <c r="Z34" s="134"/>
      <c r="AC34" s="181"/>
      <c r="AD34" s="181"/>
      <c r="AE34" s="181"/>
      <c r="AF34" s="181"/>
      <c r="AG34" s="181"/>
      <c r="AH34" s="181"/>
      <c r="AI34" s="181"/>
      <c r="AJ34" s="181"/>
      <c r="AK34" s="181"/>
      <c r="AL34" s="181"/>
      <c r="AM34" s="181"/>
      <c r="AN34" s="181"/>
      <c r="AO34" s="181"/>
      <c r="AQ34" s="181"/>
      <c r="AR34" s="181"/>
      <c r="AS34" s="181"/>
      <c r="AT34" s="181"/>
      <c r="AU34" s="181"/>
      <c r="AV34" s="181"/>
      <c r="AW34" s="181"/>
      <c r="AX34" s="181"/>
    </row>
    <row r="35" spans="2:50" ht="16" customHeight="1" x14ac:dyDescent="0.3">
      <c r="B35" s="82"/>
      <c r="C35" s="75"/>
      <c r="D35" s="75"/>
      <c r="E35" s="435" t="str">
        <f>'Stage 2'!F28</f>
        <v>Horticulture</v>
      </c>
      <c r="F35" s="435"/>
      <c r="G35" s="435"/>
      <c r="H35" s="435"/>
      <c r="I35" s="435"/>
      <c r="J35" s="37"/>
      <c r="K35" s="210"/>
      <c r="L35" s="196" t="str">
        <f>IF('Stage 2'!$K28&gt;0,'Stage 2'!O28/'Stage 2'!$K28,"")</f>
        <v/>
      </c>
      <c r="M35" s="74"/>
      <c r="N35" s="306" t="s">
        <v>206</v>
      </c>
      <c r="O35" s="86" t="s">
        <v>232</v>
      </c>
      <c r="P35" s="96"/>
      <c r="Q35" s="37"/>
      <c r="R35" s="37"/>
      <c r="S35" s="435" t="str">
        <f t="shared" si="0"/>
        <v>Horticulture</v>
      </c>
      <c r="T35" s="435"/>
      <c r="U35" s="435"/>
      <c r="V35" s="435"/>
      <c r="W35" s="435"/>
      <c r="X35" s="306" t="s">
        <v>206</v>
      </c>
      <c r="Y35" s="171" t="str">
        <f>IF($X$15="Yes",IF($X35="Yes",(IF($X$20="Freely draining",IF($X$21="600-625",IF($X$22="Yes",'Data Tables'!O10,'Data Tables'!P10),IF($X$21="625-650",IF($X$22="Yes",'Data Tables'!O10,'Data Tables'!P10),IF($X$21="650-675",IF($X$22="Yes",'Data Tables'!O10,'Data Tables'!P10),IF($X$21="675-700",IF($X$22="Yes",'Data Tables'!O10,'Data Tables'!P10),IF($X$21="700-750",IF($X$22="Yes",'Data Tables'!U10,'Data Tables'!V10),IF($X$21="750-800",IF($X$22="Yes",'Data Tables'!U10,'Data Tables'!V10),IF($X$21="800-850",IF($X$22="Yes",'Data Tables'!U10,'Data Tables'!V10),IF($X$22="Yes",'Data Tables'!U10,'Data Tables'!V10)))))))),IF($X$20="Impermeable - drained for arable",IF($X$21="600-625",IF($X$22="Yes",'Data Tables'!Q10,'Data Tables'!R10),IF($X$21="625-650",IF($X$22="Yes",'Data Tables'!Q10,'Data Tables'!R10),IF($X$21="650-675",IF($X$22="Yes",'Data Tables'!Q10,'Data Tables'!R10),IF($X$21="675-700",IF($X$22="Yes",'Data Tables'!Q10,'Data Tables'!R10),IF($X$21="700-750",IF($X$22="Yes",'Data Tables'!W10,'Data Tables'!X10),IF($X$21="750-800",IF($X$22="Yes",'Data Tables'!W10,'Data Tables'!X10),IF($X$21="800-850",IF($X$22="Yes",'Data Tables'!W10,'Data Tables'!X10),IF($X$22="Yes",'Data Tables'!W10,'Data Tables'!X10)))))))),IF($X$21="600-625",IF($X$22="Yes",'Data Tables'!S10,'Data Tables'!T10),IF($X$21="625-650",IF($X$22="Yes",'Data Tables'!S10,'Data Tables'!T10),IF($X$21="650-675",IF($X$22="Yes",'Data Tables'!S10,'Data Tables'!T10),IF($X$21="675-700",IF($X$22="Yes",'Data Tables'!T10,'Data Tables'!T10),IF($X$21="700-750",IF($X$22="Yes",'Data Tables'!Y10,'Data Tables'!Z10),IF($X$21="750-800",IF($X$22="Yes",'Data Tables'!Y10,'Data Tables'!Z10),IF($X$21="800-850",IF($X$22="Yes",'Data Tables'!Y10,'Data Tables'!Z10),IF($X$22="Yes",'Data Tables'!Y10,'Data Tables'!Z10))))))))))),0),"")</f>
        <v/>
      </c>
      <c r="Z35" s="134"/>
      <c r="AC35" s="181"/>
      <c r="AD35" s="181"/>
      <c r="AE35" s="181"/>
      <c r="AF35" s="181"/>
      <c r="AG35" s="181"/>
      <c r="AH35" s="181"/>
      <c r="AI35" s="181"/>
      <c r="AJ35" s="181"/>
      <c r="AK35" s="181"/>
      <c r="AL35" s="181"/>
      <c r="AM35" s="181"/>
      <c r="AN35" s="181"/>
      <c r="AO35" s="181"/>
      <c r="AQ35" s="181"/>
      <c r="AR35" s="181"/>
      <c r="AS35" s="181"/>
      <c r="AT35" s="181"/>
      <c r="AU35" s="181"/>
      <c r="AV35" s="181"/>
      <c r="AW35" s="181"/>
      <c r="AX35" s="181"/>
    </row>
    <row r="36" spans="2:50" ht="16" customHeight="1" x14ac:dyDescent="0.3">
      <c r="B36" s="82"/>
      <c r="C36" s="75"/>
      <c r="D36" s="75"/>
      <c r="E36" s="435" t="str">
        <f>'Stage 2'!F29</f>
        <v>Cereals</v>
      </c>
      <c r="F36" s="435"/>
      <c r="G36" s="435"/>
      <c r="H36" s="435"/>
      <c r="I36" s="435"/>
      <c r="J36" s="37"/>
      <c r="K36" s="210"/>
      <c r="L36" s="196" t="str">
        <f>IF('Stage 2'!$K29&gt;0,'Stage 2'!O29/'Stage 2'!$K29,"")</f>
        <v/>
      </c>
      <c r="M36" s="74"/>
      <c r="N36" s="306" t="s">
        <v>206</v>
      </c>
      <c r="O36" s="86" t="s">
        <v>232</v>
      </c>
      <c r="P36" s="96"/>
      <c r="Q36" s="37"/>
      <c r="R36" s="37"/>
      <c r="S36" s="435" t="str">
        <f t="shared" si="0"/>
        <v>Cereals</v>
      </c>
      <c r="T36" s="435"/>
      <c r="U36" s="435"/>
      <c r="V36" s="435"/>
      <c r="W36" s="435"/>
      <c r="X36" s="306" t="s">
        <v>206</v>
      </c>
      <c r="Y36" s="171" t="str">
        <f>IF($X$15="Yes",IF($X36="Yes",(IF($X$20="Freely draining",IF($X$21="600-625",IF($X$22="Yes",'Data Tables'!O11,'Data Tables'!P11),IF($X$21="625-650",IF($X$22="Yes",'Data Tables'!O11,'Data Tables'!P11),IF($X$21="650-675",IF($X$22="Yes",'Data Tables'!O11,'Data Tables'!P11),IF($X$21="675-700",IF($X$22="Yes",'Data Tables'!O11,'Data Tables'!P11),IF($X$21="700-750",IF($X$22="Yes",'Data Tables'!U11,'Data Tables'!V11),IF($X$21="750-800",IF($X$22="Yes",'Data Tables'!U11,'Data Tables'!V11),IF($X$21="800-850",IF($X$22="Yes",'Data Tables'!U11,'Data Tables'!V11),IF($X$22="Yes",'Data Tables'!U11,'Data Tables'!V11)))))))),IF($X$20="Impermeable - drained for arable",IF($X$21="600-625",IF($X$22="Yes",'Data Tables'!Q11,'Data Tables'!R11),IF($X$21="625-650",IF($X$22="Yes",'Data Tables'!Q11,'Data Tables'!R11),IF($X$21="650-675",IF($X$22="Yes",'Data Tables'!Q11,'Data Tables'!R11),IF($X$21="675-700",IF($X$22="Yes",'Data Tables'!Q11,'Data Tables'!R11),IF($X$21="700-750",IF($X$22="Yes",'Data Tables'!W11,'Data Tables'!X11),IF($X$21="750-800",IF($X$22="Yes",'Data Tables'!W11,'Data Tables'!X11),IF($X$21="800-850",IF($X$22="Yes",'Data Tables'!W11,'Data Tables'!X11),IF($X$22="Yes",'Data Tables'!W11,'Data Tables'!X11)))))))),IF($X$21="600-625",IF($X$22="Yes",'Data Tables'!S11,'Data Tables'!T11),IF($X$21="625-650",IF($X$22="Yes",'Data Tables'!S11,'Data Tables'!T11),IF($X$21="650-675",IF($X$22="Yes",'Data Tables'!S11,'Data Tables'!T11),IF($X$21="675-700",IF($X$22="Yes",'Data Tables'!T11,'Data Tables'!T11),IF($X$21="700-750",IF($X$22="Yes",'Data Tables'!Y11,'Data Tables'!Z11),IF($X$21="750-800",IF($X$22="Yes",'Data Tables'!Y11,'Data Tables'!Z11),IF($X$21="800-850",IF($X$22="Yes",'Data Tables'!Y11,'Data Tables'!Z11),IF($X$22="Yes",'Data Tables'!Y11,'Data Tables'!Z11))))))))))),0),"")</f>
        <v/>
      </c>
      <c r="Z36" s="134"/>
      <c r="AC36" s="181"/>
      <c r="AD36" s="181"/>
      <c r="AE36" s="181"/>
      <c r="AF36" s="181"/>
      <c r="AG36" s="181"/>
      <c r="AH36" s="181"/>
      <c r="AI36" s="181"/>
      <c r="AJ36" s="181"/>
      <c r="AK36" s="181"/>
      <c r="AL36" s="181"/>
      <c r="AM36" s="181"/>
      <c r="AN36" s="181"/>
      <c r="AO36" s="181"/>
      <c r="AQ36" s="181"/>
      <c r="AR36" s="181"/>
      <c r="AS36" s="181"/>
      <c r="AT36" s="181"/>
      <c r="AU36" s="181"/>
      <c r="AV36" s="181"/>
      <c r="AW36" s="181"/>
      <c r="AX36" s="181"/>
    </row>
    <row r="37" spans="2:50" ht="16" customHeight="1" x14ac:dyDescent="0.3">
      <c r="B37" s="82"/>
      <c r="C37" s="75"/>
      <c r="D37" s="75"/>
      <c r="E37" s="435" t="str">
        <f>'Stage 2'!F30</f>
        <v>General Arable</v>
      </c>
      <c r="F37" s="435"/>
      <c r="G37" s="435"/>
      <c r="H37" s="435"/>
      <c r="I37" s="435"/>
      <c r="J37" s="37"/>
      <c r="K37" s="210"/>
      <c r="L37" s="196" t="str">
        <f>IF('Stage 2'!$K30&gt;0,'Stage 2'!O30/'Stage 2'!$K30,"")</f>
        <v/>
      </c>
      <c r="M37" s="74"/>
      <c r="N37" s="306" t="s">
        <v>206</v>
      </c>
      <c r="O37" s="86" t="s">
        <v>232</v>
      </c>
      <c r="P37" s="96"/>
      <c r="Q37" s="37"/>
      <c r="R37" s="37"/>
      <c r="S37" s="435" t="str">
        <f t="shared" si="0"/>
        <v>General Arable</v>
      </c>
      <c r="T37" s="435"/>
      <c r="U37" s="435"/>
      <c r="V37" s="435"/>
      <c r="W37" s="435"/>
      <c r="X37" s="306" t="s">
        <v>206</v>
      </c>
      <c r="Y37" s="171" t="str">
        <f>IF($X$15="Yes",IF($X37="Yes",(IF($X$20="Freely draining",IF($X$21="600-625",IF($X$22="Yes",'Data Tables'!O12,'Data Tables'!P12),IF($X$21="625-650",IF($X$22="Yes",'Data Tables'!O12,'Data Tables'!P12),IF($X$21="650-675",IF($X$22="Yes",'Data Tables'!O12,'Data Tables'!P12),IF($X$21="675-700",IF($X$22="Yes",'Data Tables'!O12,'Data Tables'!P12),IF($X$21="700-750",IF($X$22="Yes",'Data Tables'!U12,'Data Tables'!V12),IF($X$21="750-800",IF($X$22="Yes",'Data Tables'!U12,'Data Tables'!V12),IF($X$21="800-850",IF($X$22="Yes",'Data Tables'!U12,'Data Tables'!V12),IF($X$22="Yes",'Data Tables'!U12,'Data Tables'!V12)))))))),IF($X$20="Impermeable - drained for arable",IF($X$21="600-625",IF($X$22="Yes",'Data Tables'!Q12,'Data Tables'!R12),IF($X$21="625-650",IF($X$22="Yes",'Data Tables'!Q12,'Data Tables'!R12),IF($X$21="650-675",IF($X$22="Yes",'Data Tables'!Q12,'Data Tables'!R12),IF($X$21="675-700",IF($X$22="Yes",'Data Tables'!Q12,'Data Tables'!R12),IF($X$21="700-750",IF($X$22="Yes",'Data Tables'!W12,'Data Tables'!X12),IF($X$21="750-800",IF($X$22="Yes",'Data Tables'!W12,'Data Tables'!X12),IF($X$21="800-850",IF($X$22="Yes",'Data Tables'!W12,'Data Tables'!X12),IF($X$22="Yes",'Data Tables'!W12,'Data Tables'!X12)))))))),IF($X$21="600-625",IF($X$22="Yes",'Data Tables'!S12,'Data Tables'!T12),IF($X$21="625-650",IF($X$22="Yes",'Data Tables'!S12,'Data Tables'!T12),IF($X$21="650-675",IF($X$22="Yes",'Data Tables'!S12,'Data Tables'!T12),IF($X$21="675-700",IF($X$22="Yes",'Data Tables'!T12,'Data Tables'!T12),IF($X$21="700-750",IF($X$22="Yes",'Data Tables'!Y12,'Data Tables'!Z12),IF($X$21="750-800",IF($X$22="Yes",'Data Tables'!Y12,'Data Tables'!Z12),IF($X$21="800-850",IF($X$22="Yes",'Data Tables'!Y12,'Data Tables'!Z12),IF($X$22="Yes",'Data Tables'!Y12,'Data Tables'!Z12))))))))))),0),"")</f>
        <v/>
      </c>
      <c r="Z37" s="134"/>
      <c r="AC37" s="181"/>
      <c r="AD37" s="181"/>
      <c r="AE37" s="181"/>
      <c r="AF37" s="181"/>
      <c r="AG37" s="181"/>
      <c r="AH37" s="181"/>
      <c r="AI37" s="181"/>
      <c r="AJ37" s="181"/>
      <c r="AK37" s="181"/>
      <c r="AL37" s="181"/>
      <c r="AM37" s="181"/>
      <c r="AN37" s="181"/>
      <c r="AO37" s="181"/>
      <c r="AQ37" s="181"/>
      <c r="AR37" s="181"/>
      <c r="AS37" s="181"/>
      <c r="AT37" s="181"/>
      <c r="AU37" s="181"/>
      <c r="AV37" s="181"/>
      <c r="AW37" s="181"/>
      <c r="AX37" s="181"/>
    </row>
    <row r="38" spans="2:50" ht="16" customHeight="1" x14ac:dyDescent="0.3">
      <c r="B38" s="82"/>
      <c r="C38" s="75"/>
      <c r="D38" s="75"/>
      <c r="E38" s="435" t="str">
        <f>'Stage 2'!F31</f>
        <v>Allotments and city farms</v>
      </c>
      <c r="F38" s="435"/>
      <c r="G38" s="435"/>
      <c r="H38" s="435"/>
      <c r="I38" s="435"/>
      <c r="J38" s="37"/>
      <c r="K38" s="210"/>
      <c r="L38" s="196" t="str">
        <f>IF('Stage 2'!$K31&gt;0,'Stage 2'!O31/'Stage 2'!$K31,"")</f>
        <v/>
      </c>
      <c r="M38" s="115"/>
      <c r="N38" s="306" t="s">
        <v>206</v>
      </c>
      <c r="O38" s="86" t="s">
        <v>232</v>
      </c>
      <c r="P38" s="96"/>
      <c r="Q38" s="37"/>
      <c r="R38" s="37"/>
      <c r="S38" s="435" t="str">
        <f t="shared" si="0"/>
        <v>Allotments and city farms</v>
      </c>
      <c r="T38" s="435"/>
      <c r="U38" s="435"/>
      <c r="V38" s="435"/>
      <c r="W38" s="435"/>
      <c r="X38" s="306" t="s">
        <v>206</v>
      </c>
      <c r="Y38" s="171" t="str">
        <f>IF($X$15="Yes",IF($X38="Yes",(IF($X$20="Freely draining",IF($X$21="600-625",IF($X$22="Yes",'Data Tables'!O13,'Data Tables'!P13),IF($X$21="625-650",IF($X$22="Yes",'Data Tables'!O13,'Data Tables'!P13),IF($X$21="650-675",IF($X$22="Yes",'Data Tables'!O13,'Data Tables'!P13),IF($X$21="675-700",IF($X$22="Yes",'Data Tables'!O13,'Data Tables'!P13),IF($X$21="700-750",IF($X$22="Yes",'Data Tables'!U13,'Data Tables'!V13),IF($X$21="750-800",IF($X$22="Yes",'Data Tables'!U13,'Data Tables'!V13),IF($X$21="800-850",IF($X$22="Yes",'Data Tables'!U13,'Data Tables'!V13),IF($X$22="Yes",'Data Tables'!U13,'Data Tables'!V13)))))))),IF($X$20="Impermeable - drained for arable",IF($X$21="600-625",IF($X$22="Yes",'Data Tables'!Q13,'Data Tables'!R13),IF($X$21="625-650",IF($X$22="Yes",'Data Tables'!Q13,'Data Tables'!R13),IF($X$21="650-675",IF($X$22="Yes",'Data Tables'!Q13,'Data Tables'!R13),IF($X$21="675-700",IF($X$22="Yes",'Data Tables'!Q13,'Data Tables'!R13),IF($X$21="700-750",IF($X$22="Yes",'Data Tables'!W13,'Data Tables'!X13),IF($X$21="750-800",IF($X$22="Yes",'Data Tables'!W13,'Data Tables'!X13),IF($X$21="800-850",IF($X$22="Yes",'Data Tables'!W13,'Data Tables'!X13),IF($X$22="Yes",'Data Tables'!W13,'Data Tables'!X13)))))))),IF($X$21="600-625",IF($X$22="Yes",'Data Tables'!S13,'Data Tables'!T13),IF($X$21="625-650",IF($X$22="Yes",'Data Tables'!S13,'Data Tables'!T13),IF($X$21="650-675",IF($X$22="Yes",'Data Tables'!S13,'Data Tables'!T13),IF($X$21="675-700",IF($X$22="Yes",'Data Tables'!T13,'Data Tables'!T13),IF($X$21="700-750",IF($X$22="Yes",'Data Tables'!Y13,'Data Tables'!Z13),IF($X$21="750-800",IF($X$22="Yes",'Data Tables'!Y13,'Data Tables'!Z13),IF($X$21="800-850",IF($X$22="Yes",'Data Tables'!Y13,'Data Tables'!Z13),IF($X$22="Yes",'Data Tables'!Y13,'Data Tables'!Z13))))))))))),0),"")</f>
        <v/>
      </c>
      <c r="Z38" s="134"/>
    </row>
    <row r="39" spans="2:50" ht="16" customHeight="1" x14ac:dyDescent="0.3">
      <c r="B39" s="82"/>
      <c r="C39" s="75"/>
      <c r="D39" s="75"/>
      <c r="E39" s="435" t="str">
        <f>'Stage 2'!F32</f>
        <v>Woodland (e.g. conifer, mixed, broad-leaved)</v>
      </c>
      <c r="F39" s="435"/>
      <c r="G39" s="435"/>
      <c r="H39" s="435"/>
      <c r="I39" s="435"/>
      <c r="J39" s="37"/>
      <c r="K39" s="210"/>
      <c r="L39" s="112" t="str">
        <f>IF('Stage 2'!K32&gt;0,'Data Tables'!K7,"")</f>
        <v/>
      </c>
      <c r="M39" s="115"/>
      <c r="N39" s="306" t="s">
        <v>206</v>
      </c>
      <c r="O39" s="86" t="s">
        <v>232</v>
      </c>
      <c r="P39" s="96"/>
      <c r="Q39" s="37"/>
      <c r="R39" s="37"/>
      <c r="S39" s="435" t="str">
        <f t="shared" si="0"/>
        <v>Woodland (e.g. conifer, mixed, broad-leaved)</v>
      </c>
      <c r="T39" s="435"/>
      <c r="U39" s="435"/>
      <c r="V39" s="435"/>
      <c r="W39" s="435"/>
      <c r="X39" s="306" t="s">
        <v>206</v>
      </c>
      <c r="Y39" s="187" t="str">
        <f>IF($X$15="Yes",(IF(X39="Yes",'Data Tables'!K7,0)),"")</f>
        <v/>
      </c>
      <c r="Z39" s="134"/>
    </row>
    <row r="40" spans="2:50" ht="16" customHeight="1" x14ac:dyDescent="0.3">
      <c r="B40" s="82"/>
      <c r="C40" s="75"/>
      <c r="D40" s="75"/>
      <c r="E40" s="435" t="str">
        <f>'Stage 2'!F33</f>
        <v>Greenspace</v>
      </c>
      <c r="F40" s="435"/>
      <c r="G40" s="435"/>
      <c r="H40" s="435"/>
      <c r="I40" s="435"/>
      <c r="J40" s="37"/>
      <c r="K40" s="210"/>
      <c r="L40" s="112" t="str">
        <f>IF('Stage 2'!K33&gt;0,'Data Tables'!K6,"")</f>
        <v/>
      </c>
      <c r="M40" s="115"/>
      <c r="N40" s="306" t="s">
        <v>206</v>
      </c>
      <c r="O40" s="86" t="s">
        <v>232</v>
      </c>
      <c r="P40" s="96"/>
      <c r="Q40" s="37"/>
      <c r="R40" s="37"/>
      <c r="S40" s="435" t="str">
        <f t="shared" si="0"/>
        <v>Greenspace</v>
      </c>
      <c r="T40" s="435"/>
      <c r="U40" s="435"/>
      <c r="V40" s="435"/>
      <c r="W40" s="435"/>
      <c r="X40" s="306" t="s">
        <v>206</v>
      </c>
      <c r="Y40" s="187" t="str">
        <f>IF($X$15="Yes",(IF(X40="Yes",'Data Tables'!K6,0)),"")</f>
        <v/>
      </c>
      <c r="Z40" s="134"/>
    </row>
    <row r="41" spans="2:50" ht="16" customHeight="1" x14ac:dyDescent="0.3">
      <c r="B41" s="82"/>
      <c r="C41" s="75"/>
      <c r="D41" s="75"/>
      <c r="E41" s="435" t="str">
        <f>'Stage 2'!F34</f>
        <v>shrub / heathland / bracken / bog</v>
      </c>
      <c r="F41" s="435"/>
      <c r="G41" s="435"/>
      <c r="H41" s="435"/>
      <c r="I41" s="435"/>
      <c r="J41" s="37"/>
      <c r="K41" s="210"/>
      <c r="L41" s="112" t="str">
        <f>IF('Stage 2'!K34&gt;0,'Data Tables'!K8,"")</f>
        <v/>
      </c>
      <c r="M41" s="115"/>
      <c r="N41" s="306" t="s">
        <v>206</v>
      </c>
      <c r="O41" s="86" t="s">
        <v>232</v>
      </c>
      <c r="P41" s="96"/>
      <c r="Q41" s="37"/>
      <c r="R41" s="37"/>
      <c r="S41" s="435" t="str">
        <f t="shared" si="0"/>
        <v>shrub / heathland / bracken / bog</v>
      </c>
      <c r="T41" s="435"/>
      <c r="U41" s="435"/>
      <c r="V41" s="435"/>
      <c r="W41" s="435"/>
      <c r="X41" s="306" t="s">
        <v>206</v>
      </c>
      <c r="Y41" s="187" t="str">
        <f>IF($X$15="Yes",(IF(X41="Yes",'Data Tables'!K8,0)),"")</f>
        <v/>
      </c>
      <c r="Z41" s="134"/>
    </row>
    <row r="42" spans="2:50" ht="15" customHeight="1" x14ac:dyDescent="0.3">
      <c r="B42" s="82"/>
      <c r="C42" s="75"/>
      <c r="D42" s="75"/>
      <c r="E42" s="435" t="str">
        <f>'Stage 2'!F35</f>
        <v>Water</v>
      </c>
      <c r="F42" s="435"/>
      <c r="G42" s="435"/>
      <c r="H42" s="435"/>
      <c r="I42" s="435"/>
      <c r="J42" s="37"/>
      <c r="K42" s="210"/>
      <c r="L42" s="112" t="str">
        <f>IF('Stage 2'!K35&gt;0,'Data Tables'!K9,"")</f>
        <v/>
      </c>
      <c r="M42" s="115"/>
      <c r="N42" s="306" t="s">
        <v>206</v>
      </c>
      <c r="O42" s="86" t="s">
        <v>232</v>
      </c>
      <c r="P42" s="96"/>
      <c r="Q42" s="37"/>
      <c r="R42" s="37"/>
      <c r="S42" s="435" t="str">
        <f t="shared" si="0"/>
        <v>Water</v>
      </c>
      <c r="T42" s="435"/>
      <c r="U42" s="435"/>
      <c r="V42" s="435"/>
      <c r="W42" s="435"/>
      <c r="X42" s="306" t="s">
        <v>206</v>
      </c>
      <c r="Y42" s="187" t="str">
        <f>IF($X$15="Yes",(IF(X42="Yes",'Data Tables'!K9,0)),"")</f>
        <v/>
      </c>
      <c r="Z42" s="134"/>
    </row>
    <row r="43" spans="2:50" ht="16" customHeight="1" x14ac:dyDescent="0.3">
      <c r="B43" s="82"/>
      <c r="C43" s="75"/>
      <c r="D43" s="75"/>
      <c r="E43" s="37"/>
      <c r="F43" s="38"/>
      <c r="G43" s="37"/>
      <c r="H43" s="37"/>
      <c r="I43" s="37"/>
      <c r="J43" s="37"/>
      <c r="K43" s="170"/>
      <c r="L43" s="115"/>
      <c r="M43" s="115"/>
      <c r="N43" s="37"/>
      <c r="O43" s="90"/>
      <c r="P43" s="96"/>
      <c r="Q43" s="37"/>
      <c r="R43" s="37"/>
      <c r="S43" s="37"/>
      <c r="T43" s="37"/>
      <c r="U43" s="37"/>
      <c r="V43" s="37"/>
      <c r="W43" s="37"/>
      <c r="X43" s="303"/>
      <c r="Y43" s="37"/>
      <c r="Z43" s="134"/>
    </row>
    <row r="44" spans="2:50" ht="17.5" customHeight="1" x14ac:dyDescent="0.3">
      <c r="B44" s="82"/>
      <c r="C44" s="75"/>
      <c r="D44" s="75"/>
      <c r="E44" s="437" t="s">
        <v>328</v>
      </c>
      <c r="F44" s="437"/>
      <c r="G44" s="437"/>
      <c r="H44" s="437"/>
      <c r="I44" s="437"/>
      <c r="J44" s="37"/>
      <c r="K44" s="37"/>
      <c r="L44" s="100">
        <f>IF(L15="Yes",(IF(N20="Yes",L20,0)+IF(N25="Yes",L25,0)+IF(N26="Yes",L26,0)+IF(N27="Yes",L27,0)+IF(N28="Yes",L28,0)+IF(N29="Yes",L29,0)+IF(N30="Yes",L30,0)+IF(N31="Yes",L31,0)+IF(N32="Yes",L32,0)+IF(N33="Yes",L33,0)+IF(N34="Yes",L34,0)+IF(N35="Yes",L35,0)+IF(N36="Yes",L36,0)+IF(N37="Yes",L37,0)+IF(N38="Yes",L38,0)+IF(N39="Yes",L39,0)+IF(N40="Yes",L40,0)+IF(N41="Yes",L41,0)+IF(N42="Yes",L42,0))/COUNTIF(N20:N42,"Yes"),0)</f>
        <v>0</v>
      </c>
      <c r="M44" s="115"/>
      <c r="N44" s="37"/>
      <c r="O44" s="90"/>
      <c r="P44" s="96"/>
      <c r="Q44" s="37"/>
      <c r="R44" s="37"/>
      <c r="S44" s="437" t="s">
        <v>329</v>
      </c>
      <c r="T44" s="437"/>
      <c r="U44" s="437"/>
      <c r="V44" s="437"/>
      <c r="W44" s="437"/>
      <c r="X44" s="186">
        <f>IF(X15="Yes",SUM(Y25:Y42)/(COUNTIF(X25:X42,"Yes")),0)</f>
        <v>0</v>
      </c>
      <c r="Y44" s="5"/>
      <c r="Z44" s="134"/>
    </row>
    <row r="45" spans="2:50" ht="16" customHeight="1" x14ac:dyDescent="0.3">
      <c r="B45" s="82"/>
      <c r="C45" s="75"/>
      <c r="D45" s="75"/>
      <c r="E45" s="305"/>
      <c r="F45" s="305"/>
      <c r="G45" s="305"/>
      <c r="H45" s="305"/>
      <c r="I45" s="305"/>
      <c r="J45" s="37"/>
      <c r="K45" s="37"/>
      <c r="L45" s="115"/>
      <c r="M45" s="115"/>
      <c r="N45" s="37"/>
      <c r="O45" s="90"/>
      <c r="P45" s="37"/>
      <c r="Q45" s="37"/>
      <c r="R45" s="37"/>
      <c r="S45" s="305"/>
      <c r="T45" s="305"/>
      <c r="U45" s="305"/>
      <c r="V45" s="305"/>
      <c r="W45" s="305"/>
      <c r="X45" s="192"/>
      <c r="Y45" s="192"/>
      <c r="Z45" s="134"/>
    </row>
    <row r="46" spans="2:50" ht="16" customHeight="1" x14ac:dyDescent="0.3">
      <c r="B46" s="82"/>
      <c r="C46" s="75"/>
      <c r="D46" s="75"/>
      <c r="E46" s="37"/>
      <c r="F46" s="38"/>
      <c r="G46" s="37"/>
      <c r="H46" s="37"/>
      <c r="I46" s="37"/>
      <c r="J46" s="37"/>
      <c r="K46" s="37"/>
      <c r="L46" s="115"/>
      <c r="M46" s="115"/>
      <c r="N46" s="37"/>
      <c r="O46" s="90"/>
      <c r="P46" s="303"/>
      <c r="Q46" s="303"/>
      <c r="R46" s="37"/>
      <c r="S46" s="37"/>
      <c r="T46" s="37"/>
      <c r="U46" s="37"/>
      <c r="V46" s="37"/>
      <c r="W46" s="37"/>
      <c r="X46" s="37"/>
      <c r="Y46" s="37"/>
      <c r="Z46" s="134"/>
    </row>
    <row r="47" spans="2:50" ht="16" customHeight="1" x14ac:dyDescent="0.3">
      <c r="B47" s="82"/>
      <c r="C47" s="75"/>
      <c r="D47" s="75"/>
      <c r="E47" s="37"/>
      <c r="F47" s="38"/>
      <c r="G47" s="37"/>
      <c r="H47" s="37"/>
      <c r="I47" s="437" t="s">
        <v>330</v>
      </c>
      <c r="J47" s="437"/>
      <c r="K47" s="437"/>
      <c r="L47" s="437"/>
      <c r="M47" s="437"/>
      <c r="N47" s="437"/>
      <c r="O47" s="437"/>
      <c r="P47" s="100" t="str">
        <f>IF(L44+X44&gt;0,L44+X44,"")</f>
        <v/>
      </c>
      <c r="Q47" s="115"/>
      <c r="R47" s="192"/>
      <c r="S47" s="37"/>
      <c r="T47" s="37"/>
      <c r="U47" s="37"/>
      <c r="V47" s="37"/>
      <c r="W47" s="37"/>
      <c r="X47" s="37"/>
      <c r="Y47" s="37"/>
      <c r="Z47" s="134"/>
    </row>
    <row r="48" spans="2:50" ht="16" customHeight="1" thickBot="1" x14ac:dyDescent="0.35">
      <c r="B48" s="82"/>
      <c r="C48" s="75"/>
      <c r="D48" s="137"/>
      <c r="E48" s="97"/>
      <c r="F48" s="97"/>
      <c r="G48" s="97"/>
      <c r="H48" s="97"/>
      <c r="I48" s="97"/>
      <c r="J48" s="97"/>
      <c r="K48" s="97"/>
      <c r="L48" s="97"/>
      <c r="M48" s="97"/>
      <c r="N48" s="97"/>
      <c r="O48" s="97"/>
      <c r="P48" s="97"/>
      <c r="Q48" s="97"/>
      <c r="R48" s="97"/>
      <c r="S48" s="97"/>
      <c r="T48" s="37"/>
      <c r="U48" s="113"/>
      <c r="V48" s="113"/>
      <c r="W48" s="113"/>
      <c r="X48" s="113"/>
      <c r="Y48" s="113"/>
      <c r="Z48" s="138"/>
    </row>
    <row r="49" spans="2:26" ht="11.5" customHeight="1" x14ac:dyDescent="0.3">
      <c r="B49" s="82"/>
      <c r="C49" s="75"/>
      <c r="D49" s="37"/>
      <c r="E49" s="37"/>
      <c r="F49" s="37"/>
      <c r="G49" s="37"/>
      <c r="H49" s="37"/>
      <c r="I49" s="37"/>
      <c r="J49" s="37"/>
      <c r="K49" s="37"/>
      <c r="L49" s="37"/>
      <c r="M49" s="37"/>
      <c r="N49" s="37"/>
      <c r="O49" s="37"/>
      <c r="P49" s="37"/>
      <c r="Q49" s="37"/>
      <c r="R49" s="37"/>
      <c r="S49" s="37"/>
      <c r="T49" s="139"/>
      <c r="U49" s="147"/>
      <c r="V49" s="147"/>
      <c r="W49" s="147"/>
      <c r="X49" s="147"/>
      <c r="Y49" s="147"/>
      <c r="Z49" s="147"/>
    </row>
    <row r="50" spans="2:26" ht="12.65" customHeight="1" x14ac:dyDescent="0.3">
      <c r="B50" s="82"/>
      <c r="C50" s="75"/>
      <c r="D50" s="37"/>
      <c r="E50" s="85" t="s">
        <v>218</v>
      </c>
      <c r="F50" s="401" t="s">
        <v>331</v>
      </c>
      <c r="G50" s="401"/>
      <c r="H50" s="401"/>
      <c r="I50" s="401"/>
      <c r="J50" s="401"/>
      <c r="K50" s="295"/>
      <c r="L50" s="303" t="s">
        <v>144</v>
      </c>
      <c r="M50" s="303"/>
      <c r="N50" s="303" t="s">
        <v>145</v>
      </c>
      <c r="O50" s="37"/>
      <c r="P50" s="37"/>
      <c r="Q50" s="37"/>
      <c r="R50" s="37"/>
      <c r="S50" s="37"/>
      <c r="T50" s="139"/>
      <c r="U50" s="147"/>
      <c r="V50" s="147"/>
      <c r="W50" s="147"/>
      <c r="X50" s="147"/>
      <c r="Y50" s="147"/>
      <c r="Z50" s="147"/>
    </row>
    <row r="51" spans="2:26" ht="13" customHeight="1" x14ac:dyDescent="0.3">
      <c r="B51" s="82"/>
      <c r="C51" s="75"/>
      <c r="D51" s="37"/>
      <c r="E51" s="37"/>
      <c r="F51" s="37"/>
      <c r="G51" s="37"/>
      <c r="H51" s="37"/>
      <c r="I51" s="37"/>
      <c r="J51" s="37"/>
      <c r="K51" s="37"/>
      <c r="L51" s="303"/>
      <c r="M51" s="303"/>
      <c r="N51" s="37"/>
      <c r="O51" s="37"/>
      <c r="P51" s="37"/>
      <c r="Q51" s="37"/>
      <c r="R51" s="37"/>
      <c r="S51" s="37"/>
      <c r="T51" s="139"/>
      <c r="U51" s="147"/>
      <c r="V51" s="147"/>
      <c r="W51" s="147"/>
      <c r="X51" s="147"/>
      <c r="Y51" s="147"/>
      <c r="Z51" s="147"/>
    </row>
    <row r="52" spans="2:26" ht="13" customHeight="1" x14ac:dyDescent="0.3">
      <c r="B52" s="82"/>
      <c r="C52" s="75"/>
      <c r="D52" s="37"/>
      <c r="E52" s="435" t="s">
        <v>295</v>
      </c>
      <c r="F52" s="435"/>
      <c r="G52" s="435"/>
      <c r="H52" s="435"/>
      <c r="I52" s="435"/>
      <c r="J52" s="37"/>
      <c r="K52" s="37"/>
      <c r="L52" s="145" t="e">
        <f>(1/(((P47-(-IF(L60&gt;0,L60,8))))/$L$10))</f>
        <v>#VALUE!</v>
      </c>
      <c r="M52" s="193"/>
      <c r="N52" s="86" t="s">
        <v>212</v>
      </c>
      <c r="O52" s="37"/>
      <c r="P52" s="37"/>
      <c r="Q52" s="37"/>
      <c r="R52" s="37"/>
      <c r="S52" s="37"/>
      <c r="T52" s="139"/>
      <c r="U52" s="147"/>
      <c r="V52" s="147"/>
      <c r="W52" s="147"/>
      <c r="X52" s="147"/>
      <c r="Y52" s="147"/>
      <c r="Z52" s="147"/>
    </row>
    <row r="53" spans="2:26" ht="14.5" customHeight="1" x14ac:dyDescent="0.3">
      <c r="B53" s="82"/>
      <c r="C53" s="75"/>
      <c r="D53" s="37"/>
      <c r="E53" s="435" t="s">
        <v>332</v>
      </c>
      <c r="F53" s="435"/>
      <c r="G53" s="435"/>
      <c r="H53" s="435"/>
      <c r="I53" s="435"/>
      <c r="J53" s="37"/>
      <c r="K53" s="37"/>
      <c r="L53" s="145" t="e">
        <f>(L10/($P$47-'Data Tables'!AI4))</f>
        <v>#VALUE!</v>
      </c>
      <c r="M53" s="193"/>
      <c r="N53" s="86" t="s">
        <v>212</v>
      </c>
      <c r="O53" s="37"/>
      <c r="P53" s="37"/>
      <c r="Q53" s="37"/>
      <c r="R53" s="37"/>
      <c r="S53" s="37"/>
      <c r="T53" s="139"/>
      <c r="U53" s="147"/>
      <c r="V53" s="147"/>
      <c r="W53" s="147"/>
      <c r="X53" s="147"/>
      <c r="Y53" s="147"/>
      <c r="Z53" s="147"/>
    </row>
    <row r="54" spans="2:26" ht="14.5" customHeight="1" x14ac:dyDescent="0.3">
      <c r="B54" s="82"/>
      <c r="C54" s="75"/>
      <c r="D54" s="37"/>
      <c r="E54" s="435" t="s">
        <v>71</v>
      </c>
      <c r="F54" s="435"/>
      <c r="G54" s="435"/>
      <c r="H54" s="435"/>
      <c r="I54" s="435"/>
      <c r="J54" s="303"/>
      <c r="K54" s="303"/>
      <c r="L54" s="145" t="e">
        <f>(1/(($P$47-'Data Tables'!K9)/$L$10))</f>
        <v>#VALUE!</v>
      </c>
      <c r="M54" s="193"/>
      <c r="N54" s="86" t="s">
        <v>212</v>
      </c>
      <c r="O54" s="140"/>
      <c r="P54" s="141"/>
      <c r="Q54" s="141"/>
      <c r="R54" s="86"/>
      <c r="S54" s="37"/>
      <c r="T54" s="139"/>
      <c r="U54" s="147"/>
      <c r="V54" s="147"/>
      <c r="W54" s="147"/>
      <c r="X54" s="147"/>
      <c r="Y54" s="147"/>
      <c r="Z54" s="147"/>
    </row>
    <row r="55" spans="2:26" ht="14.5" customHeight="1" x14ac:dyDescent="0.3">
      <c r="B55" s="82"/>
      <c r="C55" s="75"/>
      <c r="D55" s="37"/>
      <c r="E55" s="435" t="s">
        <v>67</v>
      </c>
      <c r="F55" s="435"/>
      <c r="G55" s="435"/>
      <c r="H55" s="435"/>
      <c r="I55" s="435"/>
      <c r="J55" s="303"/>
      <c r="K55" s="303"/>
      <c r="L55" s="145"/>
      <c r="M55" s="193"/>
      <c r="N55" s="86" t="s">
        <v>212</v>
      </c>
      <c r="O55" s="140"/>
      <c r="P55" s="141"/>
      <c r="Q55" s="141"/>
      <c r="R55" s="86"/>
      <c r="S55" s="37"/>
      <c r="T55" s="139"/>
      <c r="U55" s="147"/>
      <c r="V55" s="147"/>
      <c r="W55" s="147"/>
      <c r="X55" s="147"/>
      <c r="Y55" s="147"/>
      <c r="Z55" s="147"/>
    </row>
    <row r="56" spans="2:26" ht="14.5" customHeight="1" x14ac:dyDescent="0.3">
      <c r="B56" s="82"/>
      <c r="C56" s="75"/>
      <c r="D56" s="37"/>
      <c r="E56" s="435" t="s">
        <v>333</v>
      </c>
      <c r="F56" s="435"/>
      <c r="G56" s="435"/>
      <c r="H56" s="435"/>
      <c r="I56" s="435"/>
      <c r="J56" s="303"/>
      <c r="K56" s="303"/>
      <c r="L56" s="145" t="e">
        <f>(1/(($P$47-'Data Tables'!K8)/$L$10))</f>
        <v>#VALUE!</v>
      </c>
      <c r="M56" s="193"/>
      <c r="N56" s="86" t="s">
        <v>212</v>
      </c>
      <c r="O56" s="140"/>
      <c r="P56" s="141"/>
      <c r="Q56" s="141"/>
      <c r="R56" s="86"/>
      <c r="S56" s="37"/>
      <c r="T56" s="139"/>
      <c r="U56" s="147"/>
      <c r="V56" s="147"/>
      <c r="W56" s="147"/>
      <c r="X56" s="147"/>
      <c r="Y56" s="147"/>
      <c r="Z56" s="147"/>
    </row>
    <row r="57" spans="2:26" ht="14.5" customHeight="1" x14ac:dyDescent="0.3">
      <c r="B57" s="82"/>
      <c r="C57" s="75"/>
      <c r="D57" s="37"/>
      <c r="E57" s="435" t="s">
        <v>334</v>
      </c>
      <c r="F57" s="435"/>
      <c r="G57" s="435"/>
      <c r="H57" s="435"/>
      <c r="I57" s="435"/>
      <c r="J57" s="303"/>
      <c r="K57" s="303"/>
      <c r="L57" s="145" t="e">
        <f>(1/(($P$47-'Data Tables'!K6)/$L$10))</f>
        <v>#VALUE!</v>
      </c>
      <c r="M57" s="193"/>
      <c r="N57" s="86" t="s">
        <v>212</v>
      </c>
      <c r="O57" s="140"/>
      <c r="P57" s="141"/>
      <c r="Q57" s="141"/>
      <c r="R57" s="86"/>
      <c r="S57" s="37"/>
      <c r="T57" s="139"/>
      <c r="U57" s="147"/>
      <c r="V57" s="147"/>
      <c r="W57" s="147"/>
      <c r="X57" s="147"/>
      <c r="Y57" s="147"/>
      <c r="Z57" s="147"/>
    </row>
    <row r="58" spans="2:26" ht="7.5" customHeight="1" x14ac:dyDescent="0.3">
      <c r="B58" s="82"/>
      <c r="C58" s="75"/>
      <c r="D58" s="37"/>
      <c r="E58" s="37"/>
      <c r="F58" s="37"/>
      <c r="G58" s="37"/>
      <c r="H58" s="37"/>
      <c r="I58" s="37"/>
      <c r="J58" s="37"/>
      <c r="K58" s="37"/>
      <c r="L58" s="37"/>
      <c r="M58" s="37"/>
      <c r="N58" s="37"/>
      <c r="O58" s="37"/>
      <c r="P58" s="37"/>
      <c r="Q58" s="37"/>
      <c r="R58" s="37"/>
      <c r="S58" s="37"/>
      <c r="T58" s="139"/>
      <c r="U58" s="147"/>
      <c r="V58" s="147"/>
      <c r="W58" s="147"/>
      <c r="X58" s="147"/>
      <c r="Y58" s="147"/>
      <c r="Z58" s="147"/>
    </row>
    <row r="59" spans="2:26" ht="16" customHeight="1" x14ac:dyDescent="0.3">
      <c r="B59" s="82"/>
      <c r="C59" s="75"/>
      <c r="D59" s="37"/>
      <c r="E59" s="37"/>
      <c r="F59" s="401" t="s">
        <v>335</v>
      </c>
      <c r="G59" s="401"/>
      <c r="H59" s="401"/>
      <c r="I59" s="401"/>
      <c r="J59" s="401"/>
      <c r="K59" s="295"/>
      <c r="L59" s="5"/>
      <c r="M59" s="5"/>
      <c r="N59" s="37"/>
      <c r="O59" s="37"/>
      <c r="P59" s="37"/>
      <c r="Q59" s="37"/>
      <c r="R59" s="37"/>
      <c r="S59" s="37"/>
      <c r="T59" s="139"/>
      <c r="U59" s="147"/>
      <c r="V59" s="147"/>
      <c r="W59" s="147"/>
      <c r="X59" s="147"/>
      <c r="Y59" s="147"/>
      <c r="Z59" s="147"/>
    </row>
    <row r="60" spans="2:26" ht="18" customHeight="1" x14ac:dyDescent="0.3">
      <c r="B60" s="82"/>
      <c r="C60" s="75"/>
      <c r="D60" s="37"/>
      <c r="E60" s="37"/>
      <c r="F60" s="37"/>
      <c r="G60" s="400" t="s">
        <v>336</v>
      </c>
      <c r="H60" s="400"/>
      <c r="I60" s="400"/>
      <c r="J60" s="400"/>
      <c r="K60" s="289"/>
      <c r="L60" s="306"/>
      <c r="M60" s="303"/>
      <c r="N60" s="86" t="s">
        <v>232</v>
      </c>
      <c r="O60" s="75"/>
      <c r="P60" s="37"/>
      <c r="Q60" s="37"/>
      <c r="R60" s="37"/>
      <c r="S60" s="37"/>
      <c r="T60" s="139"/>
      <c r="U60" s="147"/>
      <c r="V60" s="147"/>
      <c r="W60" s="147"/>
      <c r="X60" s="147"/>
      <c r="Y60" s="147"/>
      <c r="Z60" s="147"/>
    </row>
    <row r="61" spans="2:26" ht="38.15" customHeight="1" x14ac:dyDescent="0.3">
      <c r="B61" s="82"/>
      <c r="C61" s="75"/>
      <c r="D61" s="37"/>
      <c r="E61" s="405" t="s">
        <v>337</v>
      </c>
      <c r="F61" s="405"/>
      <c r="G61" s="405"/>
      <c r="H61" s="405"/>
      <c r="I61" s="405"/>
      <c r="J61" s="405"/>
      <c r="K61" s="405"/>
      <c r="L61" s="405"/>
      <c r="M61" s="405"/>
      <c r="N61" s="405"/>
      <c r="O61" s="405"/>
      <c r="P61" s="405"/>
      <c r="Q61" s="405"/>
      <c r="R61" s="405"/>
      <c r="S61" s="405"/>
      <c r="T61" s="139"/>
      <c r="U61" s="147"/>
      <c r="V61" s="147"/>
      <c r="W61" s="147"/>
      <c r="X61" s="147"/>
      <c r="Y61" s="147"/>
      <c r="Z61" s="147"/>
    </row>
    <row r="62" spans="2:26" ht="14.5" customHeight="1" x14ac:dyDescent="0.3">
      <c r="B62" s="82"/>
      <c r="C62" s="75"/>
      <c r="D62" s="37"/>
      <c r="E62" s="37"/>
      <c r="F62" s="37"/>
      <c r="G62" s="37"/>
      <c r="H62" s="37"/>
      <c r="I62" s="37"/>
      <c r="J62" s="37"/>
      <c r="K62" s="37"/>
      <c r="L62" s="5"/>
      <c r="M62" s="5"/>
      <c r="N62" s="37"/>
      <c r="O62" s="37"/>
      <c r="P62" s="5"/>
      <c r="Q62" s="5"/>
      <c r="R62" s="37"/>
      <c r="S62" s="37"/>
      <c r="T62" s="139"/>
      <c r="U62" s="147"/>
      <c r="V62" s="147"/>
      <c r="W62" s="147"/>
      <c r="X62" s="147"/>
      <c r="Y62" s="147"/>
      <c r="Z62" s="147"/>
    </row>
    <row r="63" spans="2:26" ht="10" customHeight="1" x14ac:dyDescent="0.3">
      <c r="B63" s="82"/>
      <c r="C63" s="75"/>
      <c r="D63" s="37"/>
      <c r="E63" s="85" t="s">
        <v>193</v>
      </c>
      <c r="F63" s="99" t="s">
        <v>338</v>
      </c>
      <c r="G63" s="37"/>
      <c r="H63" s="37"/>
      <c r="I63" s="37"/>
      <c r="J63" s="37"/>
      <c r="K63" s="37"/>
      <c r="L63" s="303" t="s">
        <v>144</v>
      </c>
      <c r="M63" s="303"/>
      <c r="N63" s="303" t="s">
        <v>145</v>
      </c>
      <c r="O63" s="303"/>
      <c r="P63" s="303" t="s">
        <v>144</v>
      </c>
      <c r="Q63" s="303"/>
      <c r="R63" s="303"/>
      <c r="S63" s="37"/>
      <c r="T63" s="139"/>
      <c r="U63" s="147"/>
      <c r="V63" s="147"/>
      <c r="W63" s="147"/>
      <c r="X63" s="147"/>
      <c r="Y63" s="147"/>
      <c r="Z63" s="147"/>
    </row>
    <row r="64" spans="2:26" ht="13.5" customHeight="1" x14ac:dyDescent="0.3">
      <c r="B64" s="82"/>
      <c r="C64" s="75"/>
      <c r="D64" s="37"/>
      <c r="E64" s="85"/>
      <c r="F64" s="99"/>
      <c r="G64" s="37"/>
      <c r="H64" s="37"/>
      <c r="I64" s="37"/>
      <c r="J64" s="37"/>
      <c r="K64" s="37"/>
      <c r="L64" s="303"/>
      <c r="M64" s="303"/>
      <c r="N64" s="37"/>
      <c r="O64" s="37"/>
      <c r="P64" s="303"/>
      <c r="Q64" s="303"/>
      <c r="R64" s="303"/>
      <c r="S64" s="37"/>
      <c r="T64" s="139"/>
      <c r="U64" s="147"/>
      <c r="V64" s="148"/>
      <c r="W64" s="147"/>
      <c r="X64" s="147"/>
      <c r="Y64" s="147"/>
      <c r="Z64" s="147"/>
    </row>
    <row r="65" spans="2:26" ht="19" customHeight="1" x14ac:dyDescent="0.3">
      <c r="B65" s="82"/>
      <c r="C65" s="75"/>
      <c r="D65" s="37"/>
      <c r="E65" s="435" t="s">
        <v>295</v>
      </c>
      <c r="F65" s="435"/>
      <c r="G65" s="435"/>
      <c r="H65" s="435"/>
      <c r="I65" s="435"/>
      <c r="J65" s="303"/>
      <c r="K65" s="303"/>
      <c r="L65" s="195"/>
      <c r="M65" s="141"/>
      <c r="N65" s="86" t="s">
        <v>190</v>
      </c>
      <c r="O65" s="140"/>
      <c r="P65" s="145" t="str">
        <f>IF(L65&gt;0,(1/(($P$47-(-IF(L60&gt;0,L60,8)))/L65)),"0")</f>
        <v>0</v>
      </c>
      <c r="Q65" s="193"/>
      <c r="R65" s="86" t="s">
        <v>212</v>
      </c>
      <c r="S65" s="37"/>
      <c r="T65" s="139"/>
      <c r="U65" s="147"/>
      <c r="V65" s="148"/>
      <c r="W65" s="147"/>
      <c r="X65" s="147"/>
      <c r="Y65" s="147"/>
      <c r="Z65" s="147"/>
    </row>
    <row r="66" spans="2:26" ht="22.5" customHeight="1" x14ac:dyDescent="0.3">
      <c r="B66" s="82"/>
      <c r="C66" s="75"/>
      <c r="D66" s="37"/>
      <c r="E66" s="435" t="s">
        <v>332</v>
      </c>
      <c r="F66" s="435"/>
      <c r="G66" s="435"/>
      <c r="H66" s="435"/>
      <c r="I66" s="435"/>
      <c r="J66" s="303"/>
      <c r="K66" s="303"/>
      <c r="L66" s="195"/>
      <c r="M66" s="141"/>
      <c r="N66" s="86" t="s">
        <v>190</v>
      </c>
      <c r="O66" s="140"/>
      <c r="P66" s="145" t="str">
        <f>IF(L66&gt;0,(1/(($P$47-'Data Tables'!AI4)/L66)),"0")</f>
        <v>0</v>
      </c>
      <c r="Q66" s="193"/>
      <c r="R66" s="86" t="s">
        <v>212</v>
      </c>
      <c r="S66" s="37"/>
      <c r="T66" s="139"/>
      <c r="U66" s="147"/>
      <c r="V66" s="147"/>
      <c r="W66" s="147"/>
      <c r="X66" s="147"/>
      <c r="Y66" s="147"/>
      <c r="Z66" s="147"/>
    </row>
    <row r="67" spans="2:26" ht="13.5" customHeight="1" x14ac:dyDescent="0.3">
      <c r="B67" s="82"/>
      <c r="C67" s="75"/>
      <c r="D67" s="37"/>
      <c r="E67" s="435" t="s">
        <v>71</v>
      </c>
      <c r="F67" s="435"/>
      <c r="G67" s="435"/>
      <c r="H67" s="435"/>
      <c r="I67" s="435"/>
      <c r="J67" s="303"/>
      <c r="K67" s="303"/>
      <c r="L67" s="195"/>
      <c r="M67" s="141"/>
      <c r="N67" s="86" t="s">
        <v>190</v>
      </c>
      <c r="O67" s="140"/>
      <c r="P67" s="145" t="str">
        <f>IF(L67&gt;0,(1/(($P$47-'Data Tables'!K9)/L67)),"0")</f>
        <v>0</v>
      </c>
      <c r="Q67" s="193"/>
      <c r="R67" s="86" t="s">
        <v>212</v>
      </c>
      <c r="S67" s="37"/>
      <c r="T67" s="139"/>
      <c r="U67" s="147"/>
      <c r="V67" s="148"/>
      <c r="W67" s="147"/>
      <c r="X67" s="147"/>
      <c r="Y67" s="147"/>
      <c r="Z67" s="147"/>
    </row>
    <row r="68" spans="2:26" ht="16.5" customHeight="1" x14ac:dyDescent="0.3">
      <c r="B68" s="82"/>
      <c r="C68" s="75"/>
      <c r="D68" s="37"/>
      <c r="E68" s="435" t="s">
        <v>67</v>
      </c>
      <c r="F68" s="435"/>
      <c r="G68" s="435"/>
      <c r="H68" s="435"/>
      <c r="I68" s="435"/>
      <c r="J68" s="303"/>
      <c r="K68" s="303"/>
      <c r="L68" s="195"/>
      <c r="M68" s="141"/>
      <c r="N68" s="86" t="s">
        <v>190</v>
      </c>
      <c r="O68" s="140"/>
      <c r="P68" s="145"/>
      <c r="Q68" s="193"/>
      <c r="R68" s="86" t="s">
        <v>212</v>
      </c>
      <c r="S68" s="37"/>
      <c r="T68" s="139"/>
      <c r="U68" s="147"/>
      <c r="V68" s="147"/>
      <c r="W68" s="147"/>
      <c r="X68" s="147"/>
      <c r="Y68" s="147"/>
      <c r="Z68" s="147"/>
    </row>
    <row r="69" spans="2:26" ht="16.5" customHeight="1" x14ac:dyDescent="0.3">
      <c r="B69" s="82"/>
      <c r="C69" s="75"/>
      <c r="D69" s="37"/>
      <c r="E69" s="435" t="s">
        <v>333</v>
      </c>
      <c r="F69" s="435"/>
      <c r="G69" s="435"/>
      <c r="H69" s="435"/>
      <c r="I69" s="435"/>
      <c r="J69" s="303"/>
      <c r="K69" s="303"/>
      <c r="L69" s="195"/>
      <c r="M69" s="141"/>
      <c r="N69" s="86" t="s">
        <v>190</v>
      </c>
      <c r="O69" s="140"/>
      <c r="P69" s="145" t="str">
        <f>IF(L69&gt;0,(1/(($P$47-'Data Tables'!K8)/L69)),"0")</f>
        <v>0</v>
      </c>
      <c r="Q69" s="193"/>
      <c r="R69" s="86" t="s">
        <v>212</v>
      </c>
      <c r="S69" s="37"/>
      <c r="T69" s="139"/>
      <c r="U69" s="147"/>
      <c r="V69" s="147"/>
      <c r="W69" s="147"/>
      <c r="X69" s="147"/>
      <c r="Y69" s="147"/>
      <c r="Z69" s="147"/>
    </row>
    <row r="70" spans="2:26" ht="16.5" customHeight="1" x14ac:dyDescent="0.3">
      <c r="B70" s="82"/>
      <c r="C70" s="75"/>
      <c r="D70" s="37"/>
      <c r="E70" s="435" t="s">
        <v>334</v>
      </c>
      <c r="F70" s="435"/>
      <c r="G70" s="435"/>
      <c r="H70" s="435"/>
      <c r="I70" s="435"/>
      <c r="J70" s="303"/>
      <c r="K70" s="303"/>
      <c r="L70" s="195"/>
      <c r="M70" s="141"/>
      <c r="N70" s="86" t="s">
        <v>190</v>
      </c>
      <c r="O70" s="140"/>
      <c r="P70" s="145" t="str">
        <f>IF(L70&gt;0,(1/(($P$47-'Data Tables'!K6)/L70)),"0")</f>
        <v>0</v>
      </c>
      <c r="Q70" s="193"/>
      <c r="R70" s="86" t="s">
        <v>212</v>
      </c>
      <c r="S70" s="37"/>
      <c r="T70" s="139"/>
      <c r="U70" s="147"/>
      <c r="V70" s="147"/>
      <c r="W70" s="147"/>
      <c r="X70" s="147"/>
      <c r="Y70" s="147"/>
      <c r="Z70" s="147"/>
    </row>
    <row r="71" spans="2:26" ht="22" customHeight="1" x14ac:dyDescent="0.3">
      <c r="B71" s="82"/>
      <c r="C71" s="75"/>
      <c r="D71" s="37"/>
      <c r="E71" s="37"/>
      <c r="F71" s="37"/>
      <c r="G71" s="37"/>
      <c r="H71" s="37"/>
      <c r="I71" s="37"/>
      <c r="J71" s="37"/>
      <c r="K71" s="37"/>
      <c r="L71" s="37"/>
      <c r="M71" s="37"/>
      <c r="N71" s="86"/>
      <c r="O71" s="86"/>
      <c r="P71" s="142"/>
      <c r="Q71" s="142"/>
      <c r="R71" s="86"/>
      <c r="S71" s="37"/>
      <c r="T71" s="139"/>
      <c r="U71" s="147"/>
      <c r="V71" s="147"/>
      <c r="W71" s="147"/>
      <c r="X71" s="147"/>
      <c r="Y71" s="147"/>
      <c r="Z71" s="147"/>
    </row>
    <row r="72" spans="2:26" ht="15.65" customHeight="1" x14ac:dyDescent="0.3">
      <c r="B72" s="82"/>
      <c r="C72" s="75"/>
      <c r="D72" s="37"/>
      <c r="E72" s="37"/>
      <c r="F72" s="402" t="s">
        <v>339</v>
      </c>
      <c r="G72" s="402"/>
      <c r="H72" s="402"/>
      <c r="I72" s="402"/>
      <c r="J72" s="37"/>
      <c r="K72" s="37"/>
      <c r="L72" s="100">
        <f>L10-(SUM(L65:L70))</f>
        <v>0</v>
      </c>
      <c r="M72" s="115"/>
      <c r="N72" s="90" t="s">
        <v>192</v>
      </c>
      <c r="O72" s="90"/>
      <c r="P72" s="112">
        <f>SUM(P65:P70)</f>
        <v>0</v>
      </c>
      <c r="Q72" s="194"/>
      <c r="R72" s="90" t="s">
        <v>212</v>
      </c>
      <c r="S72" s="37"/>
      <c r="T72" s="139"/>
      <c r="U72" s="147"/>
      <c r="V72" s="147"/>
      <c r="W72" s="147"/>
      <c r="X72" s="147"/>
      <c r="Y72" s="147"/>
      <c r="Z72" s="147"/>
    </row>
    <row r="73" spans="2:26" ht="18" customHeight="1" x14ac:dyDescent="0.3">
      <c r="B73" s="82"/>
      <c r="C73" s="75"/>
      <c r="D73" s="37"/>
      <c r="E73" s="37"/>
      <c r="F73" s="37"/>
      <c r="G73" s="37"/>
      <c r="H73" s="37"/>
      <c r="I73" s="37"/>
      <c r="J73" s="37"/>
      <c r="K73" s="37"/>
      <c r="L73" s="37"/>
      <c r="M73" s="37"/>
      <c r="N73" s="37"/>
      <c r="O73" s="37"/>
      <c r="P73" s="37"/>
      <c r="Q73" s="37"/>
      <c r="R73" s="37"/>
      <c r="S73" s="37"/>
      <c r="T73" s="139"/>
      <c r="U73" s="147"/>
      <c r="V73" s="147"/>
      <c r="W73" s="147"/>
      <c r="X73" s="147"/>
      <c r="Y73" s="147"/>
      <c r="Z73" s="147"/>
    </row>
    <row r="74" spans="2:26" ht="33.65" customHeight="1" x14ac:dyDescent="0.3">
      <c r="B74" s="82"/>
      <c r="C74" s="75"/>
      <c r="D74" s="37"/>
      <c r="E74" s="405" t="s">
        <v>486</v>
      </c>
      <c r="F74" s="405"/>
      <c r="G74" s="405"/>
      <c r="H74" s="405"/>
      <c r="I74" s="405"/>
      <c r="J74" s="405"/>
      <c r="K74" s="405"/>
      <c r="L74" s="405"/>
      <c r="M74" s="405"/>
      <c r="N74" s="405"/>
      <c r="O74" s="405"/>
      <c r="P74" s="405"/>
      <c r="Q74" s="405"/>
      <c r="R74" s="405"/>
      <c r="S74" s="405"/>
      <c r="T74" s="139"/>
      <c r="U74" s="147"/>
      <c r="V74" s="147"/>
      <c r="W74" s="147"/>
      <c r="X74" s="147"/>
      <c r="Y74" s="147"/>
      <c r="Z74" s="147"/>
    </row>
    <row r="75" spans="2:26" ht="13" x14ac:dyDescent="0.3">
      <c r="B75" s="82"/>
      <c r="C75" s="75"/>
      <c r="D75" s="37"/>
      <c r="E75" s="37"/>
      <c r="F75" s="37"/>
      <c r="G75" s="37"/>
      <c r="H75" s="37"/>
      <c r="I75" s="37"/>
      <c r="J75" s="37"/>
      <c r="K75" s="37"/>
      <c r="L75" s="37"/>
      <c r="M75" s="37"/>
      <c r="N75" s="37"/>
      <c r="O75" s="37"/>
      <c r="P75" s="37"/>
      <c r="Q75" s="37"/>
      <c r="R75" s="37"/>
      <c r="S75" s="37"/>
      <c r="T75" s="139"/>
      <c r="U75" s="147"/>
      <c r="V75" s="147"/>
      <c r="W75" s="147"/>
      <c r="X75" s="147"/>
      <c r="Y75" s="147"/>
      <c r="Z75" s="147"/>
    </row>
    <row r="76" spans="2:26" ht="15.5" x14ac:dyDescent="0.3">
      <c r="B76" s="82"/>
      <c r="C76" s="75"/>
      <c r="D76" s="37"/>
      <c r="E76" s="85" t="s">
        <v>258</v>
      </c>
      <c r="F76" s="99" t="s">
        <v>338</v>
      </c>
      <c r="G76" s="37"/>
      <c r="H76" s="37"/>
      <c r="I76" s="37"/>
      <c r="J76" s="37"/>
      <c r="K76" s="37"/>
      <c r="L76" s="303" t="s">
        <v>144</v>
      </c>
      <c r="M76" s="303"/>
      <c r="N76" s="303" t="s">
        <v>145</v>
      </c>
      <c r="O76" s="303"/>
      <c r="P76" s="303" t="s">
        <v>144</v>
      </c>
      <c r="Q76" s="303"/>
      <c r="R76" s="303"/>
      <c r="S76" s="37"/>
      <c r="T76" s="139"/>
      <c r="U76" s="147"/>
      <c r="V76" s="147"/>
      <c r="W76" s="147"/>
      <c r="X76" s="147"/>
      <c r="Y76" s="147"/>
      <c r="Z76" s="147"/>
    </row>
    <row r="77" spans="2:26" ht="15.5" x14ac:dyDescent="0.3">
      <c r="B77" s="82"/>
      <c r="C77" s="75"/>
      <c r="D77" s="37"/>
      <c r="E77" s="85"/>
      <c r="F77" s="99"/>
      <c r="G77" s="37"/>
      <c r="H77" s="37"/>
      <c r="I77" s="37"/>
      <c r="J77" s="37"/>
      <c r="K77" s="37"/>
      <c r="L77" s="303"/>
      <c r="M77" s="303"/>
      <c r="N77" s="37"/>
      <c r="O77" s="37"/>
      <c r="P77" s="303"/>
      <c r="Q77" s="303"/>
      <c r="R77" s="303"/>
      <c r="S77" s="37"/>
      <c r="T77" s="139"/>
      <c r="U77" s="147"/>
      <c r="V77" s="147"/>
      <c r="W77" s="147"/>
      <c r="X77" s="147"/>
      <c r="Y77" s="147"/>
      <c r="Z77" s="147"/>
    </row>
    <row r="78" spans="2:26" ht="13" x14ac:dyDescent="0.3">
      <c r="B78" s="82"/>
      <c r="C78" s="75"/>
      <c r="D78" s="37"/>
      <c r="E78" s="435" t="s">
        <v>295</v>
      </c>
      <c r="F78" s="435"/>
      <c r="G78" s="435"/>
      <c r="H78" s="435"/>
      <c r="I78" s="435"/>
      <c r="J78" s="303"/>
      <c r="K78" s="303"/>
      <c r="L78" s="168"/>
      <c r="M78" s="193"/>
      <c r="N78" s="86" t="s">
        <v>340</v>
      </c>
      <c r="O78" s="140"/>
      <c r="P78" s="102" t="e">
        <f>L78*($P$47-(-IF(L60&gt;0,L60,8)))</f>
        <v>#VALUE!</v>
      </c>
      <c r="Q78" s="141"/>
      <c r="R78" s="86" t="s">
        <v>190</v>
      </c>
      <c r="S78" s="37"/>
      <c r="T78" s="139"/>
      <c r="U78" s="147"/>
      <c r="V78" s="147"/>
      <c r="W78" s="147"/>
      <c r="X78" s="147"/>
      <c r="Y78" s="147"/>
      <c r="Z78" s="147"/>
    </row>
    <row r="79" spans="2:26" ht="13" x14ac:dyDescent="0.3">
      <c r="B79" s="82"/>
      <c r="C79" s="75"/>
      <c r="D79" s="37"/>
      <c r="E79" s="435" t="s">
        <v>332</v>
      </c>
      <c r="F79" s="435"/>
      <c r="G79" s="435"/>
      <c r="H79" s="435"/>
      <c r="I79" s="435"/>
      <c r="J79" s="303"/>
      <c r="K79" s="303"/>
      <c r="L79" s="168"/>
      <c r="M79" s="193"/>
      <c r="N79" s="86" t="s">
        <v>340</v>
      </c>
      <c r="O79" s="140"/>
      <c r="P79" s="102" t="e">
        <f>L79*($P$47-'Data Tables'!AI4)</f>
        <v>#VALUE!</v>
      </c>
      <c r="Q79" s="141"/>
      <c r="R79" s="86" t="s">
        <v>190</v>
      </c>
      <c r="S79" s="37"/>
      <c r="T79" s="139"/>
      <c r="U79" s="147"/>
      <c r="V79" s="147"/>
      <c r="W79" s="147"/>
      <c r="X79" s="147"/>
      <c r="Y79" s="147"/>
      <c r="Z79" s="147"/>
    </row>
    <row r="80" spans="2:26" ht="13" x14ac:dyDescent="0.3">
      <c r="B80" s="82"/>
      <c r="C80" s="75"/>
      <c r="D80" s="37"/>
      <c r="E80" s="435" t="s">
        <v>71</v>
      </c>
      <c r="F80" s="435"/>
      <c r="G80" s="435"/>
      <c r="H80" s="435"/>
      <c r="I80" s="435"/>
      <c r="J80" s="303"/>
      <c r="K80" s="303"/>
      <c r="L80" s="168"/>
      <c r="M80" s="193"/>
      <c r="N80" s="86" t="s">
        <v>340</v>
      </c>
      <c r="O80" s="140"/>
      <c r="P80" s="102" t="e">
        <f>L80*($P$47-'Data Tables'!K9)</f>
        <v>#VALUE!</v>
      </c>
      <c r="Q80" s="141"/>
      <c r="R80" s="86" t="s">
        <v>190</v>
      </c>
      <c r="S80" s="37"/>
      <c r="T80" s="139"/>
      <c r="U80" s="147"/>
      <c r="V80" s="147"/>
      <c r="W80" s="147"/>
      <c r="X80" s="147"/>
      <c r="Y80" s="147"/>
      <c r="Z80" s="147"/>
    </row>
    <row r="81" spans="2:26" ht="13" x14ac:dyDescent="0.3">
      <c r="B81" s="82"/>
      <c r="C81" s="75"/>
      <c r="D81" s="37"/>
      <c r="E81" s="435" t="s">
        <v>67</v>
      </c>
      <c r="F81" s="435"/>
      <c r="G81" s="435"/>
      <c r="H81" s="435"/>
      <c r="I81" s="435"/>
      <c r="J81" s="303"/>
      <c r="K81" s="303"/>
      <c r="L81" s="168"/>
      <c r="M81" s="193"/>
      <c r="N81" s="86" t="s">
        <v>340</v>
      </c>
      <c r="O81" s="140"/>
      <c r="P81" s="102" t="e">
        <f>L81*($P$47-'Data Tables'!K7)</f>
        <v>#VALUE!</v>
      </c>
      <c r="Q81" s="141"/>
      <c r="R81" s="86" t="s">
        <v>190</v>
      </c>
      <c r="S81" s="37"/>
      <c r="T81" s="139"/>
      <c r="U81" s="147"/>
      <c r="V81" s="147"/>
      <c r="W81" s="147"/>
      <c r="X81" s="147"/>
      <c r="Y81" s="147"/>
      <c r="Z81" s="147"/>
    </row>
    <row r="82" spans="2:26" ht="13" x14ac:dyDescent="0.3">
      <c r="B82" s="82"/>
      <c r="C82" s="75"/>
      <c r="D82" s="37"/>
      <c r="E82" s="435" t="s">
        <v>333</v>
      </c>
      <c r="F82" s="435"/>
      <c r="G82" s="435"/>
      <c r="H82" s="435"/>
      <c r="I82" s="435"/>
      <c r="J82" s="303"/>
      <c r="K82" s="303"/>
      <c r="L82" s="168"/>
      <c r="M82" s="193"/>
      <c r="N82" s="86" t="s">
        <v>340</v>
      </c>
      <c r="O82" s="140"/>
      <c r="P82" s="102" t="e">
        <f>L82*($P$47-'Data Tables'!K8)</f>
        <v>#VALUE!</v>
      </c>
      <c r="Q82" s="141"/>
      <c r="R82" s="86" t="s">
        <v>190</v>
      </c>
      <c r="S82" s="37"/>
      <c r="T82" s="139"/>
      <c r="U82" s="147"/>
      <c r="V82" s="147"/>
      <c r="W82" s="147"/>
      <c r="X82" s="147"/>
      <c r="Y82" s="147"/>
      <c r="Z82" s="147"/>
    </row>
    <row r="83" spans="2:26" ht="13" x14ac:dyDescent="0.3">
      <c r="B83" s="82"/>
      <c r="C83" s="75"/>
      <c r="D83" s="37"/>
      <c r="E83" s="435" t="s">
        <v>334</v>
      </c>
      <c r="F83" s="435"/>
      <c r="G83" s="435"/>
      <c r="H83" s="435"/>
      <c r="I83" s="435"/>
      <c r="J83" s="303"/>
      <c r="K83" s="303"/>
      <c r="L83" s="168"/>
      <c r="M83" s="193"/>
      <c r="N83" s="86" t="s">
        <v>340</v>
      </c>
      <c r="O83" s="140"/>
      <c r="P83" s="102" t="e">
        <f>L83*($P$47-'Data Tables'!K6)</f>
        <v>#VALUE!</v>
      </c>
      <c r="Q83" s="141"/>
      <c r="R83" s="86" t="s">
        <v>190</v>
      </c>
      <c r="S83" s="37"/>
      <c r="T83" s="139"/>
      <c r="U83" s="147"/>
      <c r="V83" s="147"/>
      <c r="W83" s="147"/>
      <c r="X83" s="147"/>
      <c r="Y83" s="147"/>
      <c r="Z83" s="147"/>
    </row>
    <row r="84" spans="2:26" ht="30" customHeight="1" x14ac:dyDescent="0.3">
      <c r="B84" s="82"/>
      <c r="C84" s="75"/>
      <c r="D84" s="37"/>
      <c r="E84" s="37"/>
      <c r="F84" s="37"/>
      <c r="G84" s="37"/>
      <c r="H84" s="37"/>
      <c r="I84" s="37"/>
      <c r="J84" s="37"/>
      <c r="K84" s="37"/>
      <c r="L84" s="143"/>
      <c r="M84" s="143"/>
      <c r="N84" s="86"/>
      <c r="O84" s="86"/>
      <c r="P84" s="86"/>
      <c r="Q84" s="86"/>
      <c r="R84" s="86"/>
      <c r="S84" s="37"/>
      <c r="T84" s="139"/>
      <c r="U84" s="147"/>
      <c r="V84" s="147"/>
      <c r="W84" s="147"/>
      <c r="X84" s="147"/>
      <c r="Y84" s="147"/>
      <c r="Z84" s="147"/>
    </row>
    <row r="85" spans="2:26" ht="29.5" customHeight="1" x14ac:dyDescent="0.3">
      <c r="B85" s="82"/>
      <c r="C85" s="75"/>
      <c r="D85" s="37"/>
      <c r="E85" s="37"/>
      <c r="F85" s="402" t="s">
        <v>339</v>
      </c>
      <c r="G85" s="402"/>
      <c r="H85" s="402"/>
      <c r="I85" s="402"/>
      <c r="J85" s="37"/>
      <c r="K85" s="37"/>
      <c r="L85" s="112">
        <f>(SUM(L78:L83))</f>
        <v>0</v>
      </c>
      <c r="M85" s="194"/>
      <c r="N85" s="90" t="s">
        <v>340</v>
      </c>
      <c r="O85" s="90"/>
      <c r="P85" s="100" t="e">
        <f>L10-(SUM(P78:P83))</f>
        <v>#VALUE!</v>
      </c>
      <c r="Q85" s="115"/>
      <c r="R85" s="90" t="s">
        <v>192</v>
      </c>
      <c r="S85" s="37"/>
      <c r="T85" s="139"/>
      <c r="U85" s="147"/>
      <c r="V85" s="147"/>
      <c r="W85" s="147"/>
      <c r="X85" s="147"/>
      <c r="Y85" s="147"/>
      <c r="Z85" s="147"/>
    </row>
    <row r="86" spans="2:26" ht="15" customHeight="1" x14ac:dyDescent="0.3">
      <c r="B86" s="82"/>
      <c r="C86" s="75"/>
      <c r="D86" s="37"/>
      <c r="E86" s="37"/>
      <c r="F86" s="37"/>
      <c r="G86" s="37"/>
      <c r="H86" s="37"/>
      <c r="I86" s="37"/>
      <c r="J86" s="37"/>
      <c r="K86" s="37"/>
      <c r="L86" s="37"/>
      <c r="M86" s="37"/>
      <c r="N86" s="37"/>
      <c r="O86" s="37"/>
      <c r="P86" s="37"/>
      <c r="Q86" s="37"/>
      <c r="R86" s="37"/>
      <c r="S86" s="37"/>
      <c r="T86" s="139"/>
      <c r="U86" s="147"/>
      <c r="V86" s="147"/>
      <c r="W86" s="147"/>
      <c r="X86" s="147"/>
      <c r="Y86" s="147"/>
      <c r="Z86" s="147"/>
    </row>
    <row r="87" spans="2:26" ht="34" customHeight="1" thickBot="1" x14ac:dyDescent="0.35">
      <c r="B87" s="104"/>
      <c r="C87" s="105"/>
      <c r="D87" s="113"/>
      <c r="E87" s="434" t="s">
        <v>485</v>
      </c>
      <c r="F87" s="434"/>
      <c r="G87" s="434"/>
      <c r="H87" s="434"/>
      <c r="I87" s="434"/>
      <c r="J87" s="434"/>
      <c r="K87" s="434"/>
      <c r="L87" s="434"/>
      <c r="M87" s="434"/>
      <c r="N87" s="434"/>
      <c r="O87" s="434"/>
      <c r="P87" s="434"/>
      <c r="Q87" s="434"/>
      <c r="R87" s="434"/>
      <c r="S87" s="434"/>
      <c r="T87" s="144"/>
      <c r="U87" s="147"/>
      <c r="V87" s="147"/>
      <c r="W87" s="147"/>
      <c r="X87" s="147"/>
      <c r="Y87" s="147"/>
      <c r="Z87" s="147"/>
    </row>
    <row r="88" spans="2:26" ht="18" customHeight="1" x14ac:dyDescent="0.3">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96" spans="2:26" x14ac:dyDescent="0.25"/>
    <row r="97" x14ac:dyDescent="0.25"/>
    <row r="98" x14ac:dyDescent="0.25"/>
    <row r="99" x14ac:dyDescent="0.25"/>
    <row r="100" x14ac:dyDescent="0.25"/>
    <row r="101" x14ac:dyDescent="0.25"/>
  </sheetData>
  <sheetProtection algorithmName="SHA-512" hashValue="kjaNtyD4P7+xArkzYq3738FGrvhwgW0cMUjsX/b/GnrBWKusshc3ZBtH03rOYMexnBOaDoM79kLPMAZrh2ISKw==" saltValue="DnsSVQOZwH5Aqw+NL8jmGQ==" spinCount="100000" sheet="1" objects="1" scenarios="1" selectLockedCells="1"/>
  <mergeCells count="82">
    <mergeCell ref="S27:W27"/>
    <mergeCell ref="S38:W38"/>
    <mergeCell ref="S34:W34"/>
    <mergeCell ref="F20:J20"/>
    <mergeCell ref="S36:W36"/>
    <mergeCell ref="S31:W31"/>
    <mergeCell ref="F3:S3"/>
    <mergeCell ref="E4:S6"/>
    <mergeCell ref="S30:W30"/>
    <mergeCell ref="S20:W20"/>
    <mergeCell ref="S15:W15"/>
    <mergeCell ref="S17:X17"/>
    <mergeCell ref="S18:X18"/>
    <mergeCell ref="F18:J18"/>
    <mergeCell ref="R23:Z23"/>
    <mergeCell ref="S24:W24"/>
    <mergeCell ref="S21:W21"/>
    <mergeCell ref="S22:W22"/>
    <mergeCell ref="S25:W25"/>
    <mergeCell ref="S28:W28"/>
    <mergeCell ref="S29:W29"/>
    <mergeCell ref="S26:W26"/>
    <mergeCell ref="F50:J50"/>
    <mergeCell ref="E52:I52"/>
    <mergeCell ref="S44:W44"/>
    <mergeCell ref="S42:W42"/>
    <mergeCell ref="S32:W32"/>
    <mergeCell ref="S33:W33"/>
    <mergeCell ref="S39:W39"/>
    <mergeCell ref="S40:W40"/>
    <mergeCell ref="E35:I35"/>
    <mergeCell ref="E37:I37"/>
    <mergeCell ref="S35:W35"/>
    <mergeCell ref="S37:W37"/>
    <mergeCell ref="E41:I41"/>
    <mergeCell ref="S41:W41"/>
    <mergeCell ref="E53:I53"/>
    <mergeCell ref="F8:J8"/>
    <mergeCell ref="F13:J13"/>
    <mergeCell ref="E25:I25"/>
    <mergeCell ref="E26:I26"/>
    <mergeCell ref="E27:I27"/>
    <mergeCell ref="E28:I28"/>
    <mergeCell ref="E29:I29"/>
    <mergeCell ref="E17:O17"/>
    <mergeCell ref="E36:I36"/>
    <mergeCell ref="E38:I38"/>
    <mergeCell ref="E44:I44"/>
    <mergeCell ref="L15:M15"/>
    <mergeCell ref="I47:O47"/>
    <mergeCell ref="E42:I42"/>
    <mergeCell ref="F24:J24"/>
    <mergeCell ref="E78:I78"/>
    <mergeCell ref="E79:I79"/>
    <mergeCell ref="E65:I65"/>
    <mergeCell ref="E66:I66"/>
    <mergeCell ref="E67:I67"/>
    <mergeCell ref="E68:I68"/>
    <mergeCell ref="E69:I69"/>
    <mergeCell ref="E70:I70"/>
    <mergeCell ref="F72:I72"/>
    <mergeCell ref="E56:I56"/>
    <mergeCell ref="E57:I57"/>
    <mergeCell ref="E61:S61"/>
    <mergeCell ref="G60:J60"/>
    <mergeCell ref="F59:J59"/>
    <mergeCell ref="E87:S87"/>
    <mergeCell ref="E74:S74"/>
    <mergeCell ref="E30:I30"/>
    <mergeCell ref="E31:I31"/>
    <mergeCell ref="E32:I32"/>
    <mergeCell ref="E33:I33"/>
    <mergeCell ref="E34:I34"/>
    <mergeCell ref="E39:I39"/>
    <mergeCell ref="E40:I40"/>
    <mergeCell ref="F85:I85"/>
    <mergeCell ref="E80:I80"/>
    <mergeCell ref="E81:I81"/>
    <mergeCell ref="E82:I82"/>
    <mergeCell ref="E83:I83"/>
    <mergeCell ref="E54:I54"/>
    <mergeCell ref="E55:I55"/>
  </mergeCells>
  <dataValidations count="3">
    <dataValidation type="list" allowBlank="1" showInputMessage="1" showErrorMessage="1" sqref="X15 N20 L15:M15 X22 X25:X42 N25:N42" xr:uid="{E6DC8A56-E92E-46F6-BBF2-952F18BC3B2D}">
      <formula1>"Yes,No"</formula1>
    </dataValidation>
    <dataValidation type="list" allowBlank="1" showInputMessage="1" showErrorMessage="1" sqref="X20" xr:uid="{2480826A-6731-4237-8754-C8F2BFE5DC89}">
      <formula1>"Freely draining, Impermeable - drained for arable, Impermeable - drained for arable and grassland"</formula1>
    </dataValidation>
    <dataValidation type="list" allowBlank="1" showInputMessage="1" showErrorMessage="1" sqref="X21" xr:uid="{ADDE59AE-940C-4A76-B518-373475F00A19}">
      <formula1>"600-625, 625-650, 650-675, 675-700, 700-750, 750-800, 800-850, 850-900"</formula1>
    </dataValidation>
  </dataValidations>
  <pageMargins left="0.70866141732283472" right="0.70866141732283472" top="0.74803149606299213" bottom="0.74803149606299213" header="0.31496062992125984" footer="0.31496062992125984"/>
  <pageSetup paperSize="9" scale="33" orientation="landscape" r:id="rId1"/>
  <headerFooter>
    <oddHeader>&amp;LPhosphate Budget Calculator&amp;CStage 7&amp;R&amp;"Calibri"&amp;10&amp;KFF8C00Information Classification: CONTROLLED&amp;1#</oddHeader>
    <oddFooter>&amp;LVersion 1.0&amp;R&amp;D</oddFooter>
  </headerFooter>
  <customProperties>
    <customPr name="SSC_SHEET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48</vt:i4>
      </vt:variant>
    </vt:vector>
  </HeadingPairs>
  <TitlesOfParts>
    <vt:vector size="63" baseType="lpstr">
      <vt:lpstr>Introduction</vt:lpstr>
      <vt:lpstr>Lambourn Catchment</vt:lpstr>
      <vt:lpstr>Info</vt:lpstr>
      <vt:lpstr>Stage 1</vt:lpstr>
      <vt:lpstr>Stage 2</vt:lpstr>
      <vt:lpstr>Stage 3</vt:lpstr>
      <vt:lpstr>Stage 4</vt:lpstr>
      <vt:lpstr>Data Tables</vt:lpstr>
      <vt:lpstr>Mitigation - current</vt:lpstr>
      <vt:lpstr>Graph Calculations</vt:lpstr>
      <vt:lpstr>Mitigation - post 2025</vt:lpstr>
      <vt:lpstr>Mitigation - post 2030</vt:lpstr>
      <vt:lpstr>Mitigation land use comparison</vt:lpstr>
      <vt:lpstr>Rainfall</vt:lpstr>
      <vt:lpstr>Zero value Calc</vt:lpstr>
      <vt:lpstr>_options1</vt:lpstr>
      <vt:lpstr>_options10</vt:lpstr>
      <vt:lpstr>_options11</vt:lpstr>
      <vt:lpstr>_options12</vt:lpstr>
      <vt:lpstr>_options13</vt:lpstr>
      <vt:lpstr>_options14</vt:lpstr>
      <vt:lpstr>_options15</vt:lpstr>
      <vt:lpstr>_options16</vt:lpstr>
      <vt:lpstr>_options17</vt:lpstr>
      <vt:lpstr>_options18</vt:lpstr>
      <vt:lpstr>_options19</vt:lpstr>
      <vt:lpstr>_options2</vt:lpstr>
      <vt:lpstr>_options20</vt:lpstr>
      <vt:lpstr>_options21</vt:lpstr>
      <vt:lpstr>_options3</vt:lpstr>
      <vt:lpstr>_options4</vt:lpstr>
      <vt:lpstr>_options5</vt:lpstr>
      <vt:lpstr>_options6</vt:lpstr>
      <vt:lpstr>_options7</vt:lpstr>
      <vt:lpstr>_options8</vt:lpstr>
      <vt:lpstr>_options9</vt:lpstr>
      <vt:lpstr>'Mitigation - post 2025'!OsTWs</vt:lpstr>
      <vt:lpstr>'Mitigation - post 2030'!OsTWs</vt:lpstr>
      <vt:lpstr>OsTWs</vt:lpstr>
      <vt:lpstr>permit</vt:lpstr>
      <vt:lpstr>permits</vt:lpstr>
      <vt:lpstr>'Mitigation - post 2025'!permits2030</vt:lpstr>
      <vt:lpstr>'Mitigation - post 2030'!permits2030</vt:lpstr>
      <vt:lpstr>permits2030</vt:lpstr>
      <vt:lpstr>'Data Tables'!Print_Area</vt:lpstr>
      <vt:lpstr>'Graph Calculations'!Print_Area</vt:lpstr>
      <vt:lpstr>Info!Print_Area</vt:lpstr>
      <vt:lpstr>Introduction!Print_Area</vt:lpstr>
      <vt:lpstr>'Mitigation - current'!Print_Area</vt:lpstr>
      <vt:lpstr>'Mitigation - post 2025'!Print_Area</vt:lpstr>
      <vt:lpstr>'Mitigation - post 2030'!Print_Area</vt:lpstr>
      <vt:lpstr>'Mitigation land use comparison'!Print_Area</vt:lpstr>
      <vt:lpstr>'Stage 1'!Print_Area</vt:lpstr>
      <vt:lpstr>'Stage 2'!Print_Area</vt:lpstr>
      <vt:lpstr>'Stage 3'!Print_Area</vt:lpstr>
      <vt:lpstr>'Stage 4'!Print_Area</vt:lpstr>
      <vt:lpstr>'Zero value Calc'!Print_Area</vt:lpstr>
      <vt:lpstr>'Data Tables'!Print_Titles</vt:lpstr>
      <vt:lpstr>w</vt:lpstr>
      <vt:lpstr>Wastewater</vt:lpstr>
      <vt:lpstr>WwTW</vt:lpstr>
      <vt:lpstr>WwTWs</vt:lpstr>
      <vt:lpstr>'Zero value Calc'!Yes</vt:lpstr>
    </vt:vector>
  </TitlesOfParts>
  <Manager/>
  <Company>Royal HaskoningDHV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Oliver Bowers</dc:creator>
  <cp:keywords/>
  <dc:description/>
  <cp:lastModifiedBy>Elise Kinderman</cp:lastModifiedBy>
  <cp:revision/>
  <cp:lastPrinted>2023-12-12T12:02:08Z</cp:lastPrinted>
  <dcterms:created xsi:type="dcterms:W3CDTF">2020-11-21T09:26:11Z</dcterms:created>
  <dcterms:modified xsi:type="dcterms:W3CDTF">2025-03-12T09:27:32Z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ade86-969a-4cfc-8d70-99d1f0adeaba_Enabled">
    <vt:lpwstr>true</vt:lpwstr>
  </property>
  <property fmtid="{D5CDD505-2E9C-101B-9397-08002B2CF9AE}" pid="3" name="MSIP_Label_65bade86-969a-4cfc-8d70-99d1f0adeaba_SetDate">
    <vt:lpwstr>2023-01-04T19:28:25Z</vt:lpwstr>
  </property>
  <property fmtid="{D5CDD505-2E9C-101B-9397-08002B2CF9AE}" pid="4" name="MSIP_Label_65bade86-969a-4cfc-8d70-99d1f0adeaba_Method">
    <vt:lpwstr>Privileged</vt:lpwstr>
  </property>
  <property fmtid="{D5CDD505-2E9C-101B-9397-08002B2CF9AE}" pid="5" name="MSIP_Label_65bade86-969a-4cfc-8d70-99d1f0adeaba_Name">
    <vt:lpwstr>65bade86-969a-4cfc-8d70-99d1f0adeaba</vt:lpwstr>
  </property>
  <property fmtid="{D5CDD505-2E9C-101B-9397-08002B2CF9AE}" pid="6" name="MSIP_Label_65bade86-969a-4cfc-8d70-99d1f0adeaba_SiteId">
    <vt:lpwstr>efaa16aa-d1de-4d58-ba2e-2833fdfdd29f</vt:lpwstr>
  </property>
  <property fmtid="{D5CDD505-2E9C-101B-9397-08002B2CF9AE}" pid="7" name="MSIP_Label_65bade86-969a-4cfc-8d70-99d1f0adeaba_ActionId">
    <vt:lpwstr>9432e789-83e7-4e81-b02a-b403e525ec0d</vt:lpwstr>
  </property>
  <property fmtid="{D5CDD505-2E9C-101B-9397-08002B2CF9AE}" pid="8" name="MSIP_Label_65bade86-969a-4cfc-8d70-99d1f0adeaba_ContentBits">
    <vt:lpwstr>1</vt:lpwstr>
  </property>
</Properties>
</file>